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ml.chartshapes+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5.xml" ContentType="application/vnd.openxmlformats-officedocument.drawingml.chartshapes+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drawings/drawing6.xml" ContentType="application/vnd.openxmlformats-officedocument.drawing+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D:\جدوى\التنفيذ\التنفيذ\4- ملفات الدراسة العميل الجدد\ملفات الدراسة\نماذج ودراسات جاهزة\نموذج دراسة مالية لمدة خمس سنوات\"/>
    </mc:Choice>
  </mc:AlternateContent>
  <xr:revisionPtr revIDLastSave="0" documentId="13_ncr:1_{012FE2D1-2FBE-4E23-87CE-39145FA28C80}" xr6:coauthVersionLast="47" xr6:coauthVersionMax="47" xr10:uidLastSave="{00000000-0000-0000-0000-000000000000}"/>
  <bookViews>
    <workbookView xWindow="-108" yWindow="-108" windowWidth="23256" windowHeight="12456" tabRatio="744" xr2:uid="{00000000-000D-0000-FFFF-FFFF00000000}"/>
  </bookViews>
  <sheets>
    <sheet name="المقدمة" sheetId="15" r:id="rId1"/>
    <sheet name="ملاحظات" sheetId="17" r:id="rId2"/>
    <sheet name="بيانات الدراسة" sheetId="10" r:id="rId3"/>
    <sheet name="ادخال  التوقعات المالية" sheetId="5" r:id="rId4"/>
    <sheet name="التقرير " sheetId="7" r:id="rId5"/>
    <sheet name="ملخص" sheetId="14" r:id="rId6"/>
    <sheet name="Sheet1" sheetId="12" state="hidden" r:id="rId7"/>
  </sheets>
  <definedNames>
    <definedName name="_xlnm._FilterDatabase" localSheetId="4" hidden="1">'التقرير '!$Q$1:$Q$402</definedName>
    <definedName name="CIQWBGuid" hidden="1">"478d6148-9db0-4e95-9fdf-e3558d6e0c36"</definedName>
    <definedName name="CIQWBInfo" hidden="1">"{ ""CIQVersion"":""9.45.614.5792"" }"</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localSheetId="1" hidden="1">44199.4439583333</definedName>
    <definedName name="IQ_NAMES_REVISION_DATE_" hidden="1">44199.4439583333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4">'التقرير '!$C$1:$P$402</definedName>
    <definedName name="_xlnm.Print_Area" localSheetId="5">ملخص!$B$3:$Q$35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06" i="7" l="1"/>
  <c r="D358" i="7"/>
  <c r="D357" i="7"/>
  <c r="D350" i="7"/>
  <c r="C175" i="5"/>
  <c r="C176" i="5"/>
  <c r="D16" i="10"/>
  <c r="G32" i="7" s="1"/>
  <c r="M291" i="7"/>
  <c r="M293" i="7"/>
  <c r="M292" i="7"/>
  <c r="M290" i="7"/>
  <c r="M289" i="7"/>
  <c r="M288" i="7"/>
  <c r="M287" i="7"/>
  <c r="M286" i="7"/>
  <c r="M285" i="7"/>
  <c r="M284" i="7"/>
  <c r="D272" i="7"/>
  <c r="V286" i="7" s="1"/>
  <c r="D273" i="7"/>
  <c r="V287" i="7" s="1"/>
  <c r="D274" i="7"/>
  <c r="V288" i="7" s="1"/>
  <c r="D275" i="7"/>
  <c r="V289" i="7" s="1"/>
  <c r="D276" i="7"/>
  <c r="V290" i="7" s="1"/>
  <c r="D277" i="7"/>
  <c r="V291" i="7" s="1"/>
  <c r="D278" i="7"/>
  <c r="V292" i="7" s="1"/>
  <c r="D279" i="7"/>
  <c r="V293" i="7" s="1"/>
  <c r="M68" i="5"/>
  <c r="M67" i="5"/>
  <c r="M64" i="5"/>
  <c r="M62" i="5"/>
  <c r="J22" i="12"/>
  <c r="D15" i="12"/>
  <c r="D13" i="12"/>
  <c r="D12" i="12"/>
  <c r="D11" i="12"/>
  <c r="F10" i="12"/>
  <c r="D10" i="12"/>
  <c r="F9" i="12"/>
  <c r="D9" i="12"/>
  <c r="D8" i="12"/>
  <c r="D14" i="12" s="1"/>
  <c r="C34" i="14"/>
  <c r="D33" i="14"/>
  <c r="C33" i="14"/>
  <c r="C32" i="14"/>
  <c r="C31" i="14"/>
  <c r="C30" i="14"/>
  <c r="C29" i="14"/>
  <c r="C21" i="14"/>
  <c r="C19" i="14"/>
  <c r="C18" i="14"/>
  <c r="L14" i="14"/>
  <c r="K14" i="14"/>
  <c r="D14" i="14"/>
  <c r="L13" i="14"/>
  <c r="K13" i="14"/>
  <c r="L12" i="14"/>
  <c r="K12" i="14"/>
  <c r="K11" i="14"/>
  <c r="K6" i="14"/>
  <c r="C3" i="14"/>
  <c r="P1" i="14"/>
  <c r="C4" i="14" s="1"/>
  <c r="Q294" i="7"/>
  <c r="D293" i="7"/>
  <c r="D292" i="7"/>
  <c r="D291" i="7"/>
  <c r="D290" i="7"/>
  <c r="D289" i="7"/>
  <c r="D288" i="7"/>
  <c r="D287" i="7"/>
  <c r="D286" i="7"/>
  <c r="D285" i="7"/>
  <c r="D284" i="7"/>
  <c r="D271" i="7"/>
  <c r="V285" i="7" s="1"/>
  <c r="D270" i="7"/>
  <c r="V284" i="7" s="1"/>
  <c r="D269" i="7"/>
  <c r="D283" i="7" s="1"/>
  <c r="U265" i="7"/>
  <c r="L265" i="7"/>
  <c r="K265" i="7"/>
  <c r="J265" i="7"/>
  <c r="I265" i="7"/>
  <c r="H265" i="7"/>
  <c r="G265" i="7"/>
  <c r="D265" i="7"/>
  <c r="B265" i="7" s="1"/>
  <c r="U264" i="7"/>
  <c r="L264" i="7"/>
  <c r="K264" i="7"/>
  <c r="J264" i="7"/>
  <c r="I264" i="7"/>
  <c r="H264" i="7"/>
  <c r="G264" i="7"/>
  <c r="D264" i="7"/>
  <c r="U263" i="7"/>
  <c r="L263" i="7"/>
  <c r="K263" i="7"/>
  <c r="J263" i="7"/>
  <c r="I263" i="7"/>
  <c r="H263" i="7"/>
  <c r="G263" i="7"/>
  <c r="D263" i="7"/>
  <c r="B263" i="7" s="1"/>
  <c r="U262" i="7"/>
  <c r="L262" i="7"/>
  <c r="K262" i="7"/>
  <c r="J262" i="7"/>
  <c r="I262" i="7"/>
  <c r="H262" i="7"/>
  <c r="G262" i="7"/>
  <c r="D262" i="7"/>
  <c r="U261" i="7"/>
  <c r="L261" i="7"/>
  <c r="K261" i="7"/>
  <c r="J261" i="7"/>
  <c r="I261" i="7"/>
  <c r="H261" i="7"/>
  <c r="G261" i="7"/>
  <c r="D261" i="7"/>
  <c r="B261" i="7" s="1"/>
  <c r="U260" i="7"/>
  <c r="L260" i="7"/>
  <c r="K260" i="7"/>
  <c r="J260" i="7"/>
  <c r="I260" i="7"/>
  <c r="H260" i="7"/>
  <c r="G260" i="7"/>
  <c r="D260" i="7"/>
  <c r="U259" i="7"/>
  <c r="L259" i="7"/>
  <c r="K259" i="7"/>
  <c r="J259" i="7"/>
  <c r="I259" i="7"/>
  <c r="H259" i="7"/>
  <c r="G259" i="7"/>
  <c r="D259" i="7"/>
  <c r="B259" i="7" s="1"/>
  <c r="U258" i="7"/>
  <c r="L258" i="7"/>
  <c r="K258" i="7"/>
  <c r="J258" i="7"/>
  <c r="I258" i="7"/>
  <c r="H258" i="7"/>
  <c r="G258" i="7"/>
  <c r="D258" i="7"/>
  <c r="U257" i="7"/>
  <c r="L257" i="7"/>
  <c r="K257" i="7"/>
  <c r="J257" i="7"/>
  <c r="I257" i="7"/>
  <c r="H257" i="7"/>
  <c r="G257" i="7"/>
  <c r="D257" i="7"/>
  <c r="B257" i="7" s="1"/>
  <c r="U256" i="7"/>
  <c r="L256" i="7"/>
  <c r="K256" i="7"/>
  <c r="J256" i="7"/>
  <c r="I256" i="7"/>
  <c r="H256" i="7"/>
  <c r="G256" i="7"/>
  <c r="D256" i="7"/>
  <c r="D239" i="7"/>
  <c r="I236" i="7"/>
  <c r="D236" i="7"/>
  <c r="D235" i="7"/>
  <c r="D234" i="7"/>
  <c r="I233" i="7"/>
  <c r="D233" i="7"/>
  <c r="I230" i="7"/>
  <c r="I232" i="7" s="1"/>
  <c r="D29" i="14" s="1"/>
  <c r="Q218" i="7"/>
  <c r="I217" i="7"/>
  <c r="D12" i="14" s="1"/>
  <c r="F193" i="7"/>
  <c r="F191" i="7"/>
  <c r="F190" i="7"/>
  <c r="F189" i="7"/>
  <c r="D172" i="7"/>
  <c r="U172" i="7" s="1"/>
  <c r="D168" i="7"/>
  <c r="U168" i="7" s="1"/>
  <c r="D167" i="7"/>
  <c r="U167" i="7" s="1"/>
  <c r="D166" i="7"/>
  <c r="U166" i="7" s="1"/>
  <c r="D165" i="7"/>
  <c r="U165" i="7" s="1"/>
  <c r="D164" i="7"/>
  <c r="U164" i="7" s="1"/>
  <c r="D163" i="7"/>
  <c r="U163" i="7" s="1"/>
  <c r="D162" i="7"/>
  <c r="U162" i="7" s="1"/>
  <c r="D161" i="7"/>
  <c r="U161" i="7" s="1"/>
  <c r="D160" i="7"/>
  <c r="U160" i="7" s="1"/>
  <c r="D131" i="7"/>
  <c r="P131" i="7" s="1"/>
  <c r="D130" i="7"/>
  <c r="P130" i="7" s="1"/>
  <c r="D129" i="7"/>
  <c r="P129" i="7" s="1"/>
  <c r="D128" i="7"/>
  <c r="P128" i="7" s="1"/>
  <c r="D127" i="7"/>
  <c r="P127" i="7" s="1"/>
  <c r="F121" i="7"/>
  <c r="F120" i="7"/>
  <c r="F119" i="7"/>
  <c r="F118" i="7"/>
  <c r="F117" i="7"/>
  <c r="F116" i="7"/>
  <c r="F68" i="7"/>
  <c r="F67" i="7"/>
  <c r="F66" i="7"/>
  <c r="E32" i="7"/>
  <c r="G31" i="7"/>
  <c r="E31" i="7"/>
  <c r="G30" i="7"/>
  <c r="E30" i="7"/>
  <c r="G29" i="7"/>
  <c r="E29" i="7"/>
  <c r="G28" i="7"/>
  <c r="E28" i="7"/>
  <c r="G27" i="7"/>
  <c r="E27" i="7"/>
  <c r="G26" i="7"/>
  <c r="E26" i="7"/>
  <c r="G25" i="7"/>
  <c r="E25" i="7"/>
  <c r="C18" i="7"/>
  <c r="U1" i="7"/>
  <c r="I223" i="7" s="1"/>
  <c r="I243" i="7" s="1"/>
  <c r="D205" i="5"/>
  <c r="C199" i="5"/>
  <c r="C205" i="5" s="1"/>
  <c r="C198" i="5"/>
  <c r="C197" i="5"/>
  <c r="E205" i="5" s="1"/>
  <c r="F176" i="5"/>
  <c r="D161" i="5"/>
  <c r="C130" i="5"/>
  <c r="H121" i="5"/>
  <c r="G121" i="5"/>
  <c r="F121" i="5"/>
  <c r="E121" i="5"/>
  <c r="D121" i="5"/>
  <c r="H120" i="5"/>
  <c r="G120" i="5"/>
  <c r="F120" i="5"/>
  <c r="E120" i="5"/>
  <c r="D120" i="5"/>
  <c r="E102" i="5" s="1"/>
  <c r="H117" i="5"/>
  <c r="H100" i="5" s="1"/>
  <c r="G117" i="5"/>
  <c r="G100" i="5" s="1"/>
  <c r="F117" i="5"/>
  <c r="F100" i="5" s="1"/>
  <c r="E117" i="5"/>
  <c r="E100" i="5" s="1"/>
  <c r="D117" i="5"/>
  <c r="D100" i="5" s="1"/>
  <c r="C117" i="5"/>
  <c r="C120" i="5" s="1"/>
  <c r="C122" i="5" s="1"/>
  <c r="C116" i="5"/>
  <c r="C119" i="5" s="1"/>
  <c r="C115" i="5"/>
  <c r="C118" i="5" s="1"/>
  <c r="C121" i="5" s="1"/>
  <c r="H114" i="5"/>
  <c r="H98" i="5" s="1"/>
  <c r="G114" i="5"/>
  <c r="F114" i="5"/>
  <c r="F98" i="5" s="1"/>
  <c r="E114" i="5"/>
  <c r="D114" i="5"/>
  <c r="B102" i="5"/>
  <c r="D171" i="7" s="1"/>
  <c r="U171" i="7" s="1"/>
  <c r="B100" i="5"/>
  <c r="D170" i="7" s="1"/>
  <c r="U170" i="7" s="1"/>
  <c r="B98" i="5"/>
  <c r="D169" i="7" s="1"/>
  <c r="U169" i="7" s="1"/>
  <c r="H97" i="5"/>
  <c r="G97" i="5"/>
  <c r="F97" i="5"/>
  <c r="E97" i="5"/>
  <c r="H95" i="5"/>
  <c r="G95" i="5"/>
  <c r="F95" i="5"/>
  <c r="E95" i="5"/>
  <c r="H93" i="5"/>
  <c r="G93" i="5"/>
  <c r="F93" i="5"/>
  <c r="E93" i="5"/>
  <c r="H91" i="5"/>
  <c r="G91" i="5"/>
  <c r="F91" i="5"/>
  <c r="E91" i="5"/>
  <c r="H89" i="5"/>
  <c r="G89" i="5"/>
  <c r="F89" i="5"/>
  <c r="E89" i="5"/>
  <c r="H87" i="5"/>
  <c r="G87" i="5"/>
  <c r="F87" i="5"/>
  <c r="E87" i="5"/>
  <c r="H85" i="5"/>
  <c r="G85" i="5"/>
  <c r="F85" i="5"/>
  <c r="E85" i="5"/>
  <c r="H83" i="5"/>
  <c r="G83" i="5"/>
  <c r="F83" i="5"/>
  <c r="E83" i="5"/>
  <c r="H81" i="5"/>
  <c r="G81" i="5"/>
  <c r="F81" i="5"/>
  <c r="E81" i="5"/>
  <c r="P70" i="5"/>
  <c r="C70" i="5"/>
  <c r="L68" i="5" s="1"/>
  <c r="P69" i="5"/>
  <c r="M69" i="5"/>
  <c r="P68" i="5"/>
  <c r="P67" i="5"/>
  <c r="P66" i="5"/>
  <c r="M66" i="5"/>
  <c r="P65" i="5"/>
  <c r="M65" i="5"/>
  <c r="P64" i="5"/>
  <c r="P63" i="5"/>
  <c r="M63" i="5"/>
  <c r="P62" i="5"/>
  <c r="P61" i="5"/>
  <c r="M61" i="5"/>
  <c r="P60" i="5"/>
  <c r="F40" i="5"/>
  <c r="J131" i="7" s="1"/>
  <c r="C40" i="5"/>
  <c r="H131" i="7" s="1"/>
  <c r="E39" i="5"/>
  <c r="E38" i="5"/>
  <c r="G38" i="5" s="1"/>
  <c r="E37" i="5"/>
  <c r="F36" i="5"/>
  <c r="J130" i="7" s="1"/>
  <c r="C36" i="5"/>
  <c r="H130" i="7" s="1"/>
  <c r="G35" i="5"/>
  <c r="E35" i="5"/>
  <c r="E34" i="5"/>
  <c r="E33" i="5"/>
  <c r="G33" i="5" s="1"/>
  <c r="F32" i="5"/>
  <c r="J129" i="7" s="1"/>
  <c r="C32" i="5"/>
  <c r="H129" i="7" s="1"/>
  <c r="G31" i="5"/>
  <c r="E31" i="5"/>
  <c r="E30" i="5"/>
  <c r="G30" i="5" s="1"/>
  <c r="E29" i="5"/>
  <c r="F28" i="5"/>
  <c r="J128" i="7" s="1"/>
  <c r="C28" i="5"/>
  <c r="H128" i="7" s="1"/>
  <c r="E27" i="5"/>
  <c r="G27" i="5" s="1"/>
  <c r="E26" i="5"/>
  <c r="E25" i="5"/>
  <c r="G25" i="5" s="1"/>
  <c r="F24" i="5"/>
  <c r="J127" i="7" s="1"/>
  <c r="C24" i="5"/>
  <c r="H127" i="7" s="1"/>
  <c r="E23" i="5"/>
  <c r="E22" i="5"/>
  <c r="E21" i="5"/>
  <c r="C1" i="5"/>
  <c r="E6" i="14" s="1"/>
  <c r="E17" i="14" s="1"/>
  <c r="E28" i="14" s="1"/>
  <c r="E37" i="14" s="1"/>
  <c r="C177" i="5" l="1"/>
  <c r="D171" i="5" s="1"/>
  <c r="K272" i="7"/>
  <c r="K286" i="7" s="1"/>
  <c r="Z286" i="7" s="1"/>
  <c r="K276" i="7"/>
  <c r="J170" i="7"/>
  <c r="V170" i="7" s="1"/>
  <c r="L205" i="7"/>
  <c r="I60" i="7"/>
  <c r="Q60" i="7" s="1"/>
  <c r="M161" i="7"/>
  <c r="Y161" i="7" s="1"/>
  <c r="K170" i="7"/>
  <c r="W170" i="7" s="1"/>
  <c r="M205" i="7"/>
  <c r="M167" i="7"/>
  <c r="Y167" i="7" s="1"/>
  <c r="J95" i="7"/>
  <c r="L7" i="14" s="1"/>
  <c r="M165" i="7"/>
  <c r="Y165" i="7" s="1"/>
  <c r="M170" i="7"/>
  <c r="Y170" i="7" s="1"/>
  <c r="K205" i="7"/>
  <c r="M163" i="7"/>
  <c r="Y163" i="7" s="1"/>
  <c r="D175" i="5"/>
  <c r="D176" i="5"/>
  <c r="D170" i="5"/>
  <c r="D136" i="5"/>
  <c r="D1" i="5"/>
  <c r="F6" i="14" s="1"/>
  <c r="M6" i="14" s="1"/>
  <c r="G20" i="5"/>
  <c r="E59" i="5"/>
  <c r="F59" i="5" s="1"/>
  <c r="G59" i="5" s="1"/>
  <c r="H59" i="5" s="1"/>
  <c r="I59" i="5" s="1"/>
  <c r="J94" i="7"/>
  <c r="H255" i="7" s="1"/>
  <c r="D79" i="5"/>
  <c r="D111" i="5"/>
  <c r="L69" i="5"/>
  <c r="N69" i="5" s="1"/>
  <c r="L6" i="14"/>
  <c r="I67" i="7"/>
  <c r="Q67" i="7" s="1"/>
  <c r="K160" i="7"/>
  <c r="W160" i="7" s="1"/>
  <c r="K162" i="7"/>
  <c r="W162" i="7" s="1"/>
  <c r="K164" i="7"/>
  <c r="W164" i="7" s="1"/>
  <c r="K166" i="7"/>
  <c r="W166" i="7" s="1"/>
  <c r="K168" i="7"/>
  <c r="W168" i="7" s="1"/>
  <c r="L169" i="7"/>
  <c r="X169" i="7" s="1"/>
  <c r="L170" i="7"/>
  <c r="X170" i="7" s="1"/>
  <c r="J205" i="7"/>
  <c r="N205" i="7"/>
  <c r="H106" i="7"/>
  <c r="L106" i="7" s="1"/>
  <c r="L160" i="7"/>
  <c r="X160" i="7" s="1"/>
  <c r="J161" i="7"/>
  <c r="V161" i="7" s="1"/>
  <c r="N161" i="7"/>
  <c r="Z161" i="7" s="1"/>
  <c r="L162" i="7"/>
  <c r="X162" i="7" s="1"/>
  <c r="J163" i="7"/>
  <c r="V163" i="7" s="1"/>
  <c r="N163" i="7"/>
  <c r="Z163" i="7" s="1"/>
  <c r="L164" i="7"/>
  <c r="X164" i="7" s="1"/>
  <c r="J165" i="7"/>
  <c r="V165" i="7" s="1"/>
  <c r="N165" i="7"/>
  <c r="Z165" i="7" s="1"/>
  <c r="L166" i="7"/>
  <c r="X166" i="7" s="1"/>
  <c r="J167" i="7"/>
  <c r="V167" i="7" s="1"/>
  <c r="N167" i="7"/>
  <c r="Z167" i="7" s="1"/>
  <c r="L168" i="7"/>
  <c r="X168" i="7" s="1"/>
  <c r="I66" i="7"/>
  <c r="Q66" i="7" s="1"/>
  <c r="I68" i="7"/>
  <c r="Q68" i="7" s="1"/>
  <c r="M160" i="7"/>
  <c r="Y160" i="7" s="1"/>
  <c r="K161" i="7"/>
  <c r="W161" i="7" s="1"/>
  <c r="M162" i="7"/>
  <c r="Y162" i="7" s="1"/>
  <c r="K163" i="7"/>
  <c r="W163" i="7" s="1"/>
  <c r="M164" i="7"/>
  <c r="Y164" i="7" s="1"/>
  <c r="K165" i="7"/>
  <c r="W165" i="7" s="1"/>
  <c r="M166" i="7"/>
  <c r="Y166" i="7" s="1"/>
  <c r="K167" i="7"/>
  <c r="W167" i="7" s="1"/>
  <c r="M168" i="7"/>
  <c r="Y168" i="7" s="1"/>
  <c r="J160" i="7"/>
  <c r="V160" i="7" s="1"/>
  <c r="N160" i="7"/>
  <c r="Z160" i="7" s="1"/>
  <c r="L161" i="7"/>
  <c r="X161" i="7" s="1"/>
  <c r="J162" i="7"/>
  <c r="V162" i="7" s="1"/>
  <c r="N162" i="7"/>
  <c r="Z162" i="7" s="1"/>
  <c r="L163" i="7"/>
  <c r="X163" i="7" s="1"/>
  <c r="J164" i="7"/>
  <c r="V164" i="7" s="1"/>
  <c r="N164" i="7"/>
  <c r="Z164" i="7" s="1"/>
  <c r="L165" i="7"/>
  <c r="X165" i="7" s="1"/>
  <c r="J166" i="7"/>
  <c r="V166" i="7" s="1"/>
  <c r="N166" i="7"/>
  <c r="Z166" i="7" s="1"/>
  <c r="L167" i="7"/>
  <c r="X167" i="7" s="1"/>
  <c r="J168" i="7"/>
  <c r="V168" i="7" s="1"/>
  <c r="N168" i="7"/>
  <c r="Z168" i="7" s="1"/>
  <c r="I278" i="7"/>
  <c r="I292" i="7" s="1"/>
  <c r="X292" i="7" s="1"/>
  <c r="L273" i="7"/>
  <c r="L287" i="7" s="1"/>
  <c r="AA287" i="7" s="1"/>
  <c r="L61" i="5"/>
  <c r="L62" i="5"/>
  <c r="L63" i="5"/>
  <c r="N63" i="5" s="1"/>
  <c r="L64" i="5"/>
  <c r="L65" i="5"/>
  <c r="N65" i="5" s="1"/>
  <c r="L66" i="5"/>
  <c r="N66" i="5" s="1"/>
  <c r="I270" i="7"/>
  <c r="I274" i="7"/>
  <c r="I288" i="7" s="1"/>
  <c r="X288" i="7" s="1"/>
  <c r="B264" i="7"/>
  <c r="Q264" i="7"/>
  <c r="Q292" i="7" s="1"/>
  <c r="L60" i="5"/>
  <c r="L67" i="5"/>
  <c r="N67" i="5" s="1"/>
  <c r="J275" i="7"/>
  <c r="G122" i="5"/>
  <c r="N68" i="5"/>
  <c r="E122" i="5"/>
  <c r="Q258" i="7"/>
  <c r="Q286" i="7" s="1"/>
  <c r="Q262" i="7"/>
  <c r="Q290" i="7" s="1"/>
  <c r="L278" i="7"/>
  <c r="L292" i="7" s="1"/>
  <c r="AA292" i="7" s="1"/>
  <c r="B260" i="7"/>
  <c r="K273" i="7"/>
  <c r="J273" i="7"/>
  <c r="I273" i="7"/>
  <c r="H273" i="7"/>
  <c r="K277" i="7"/>
  <c r="J277" i="7"/>
  <c r="I277" i="7"/>
  <c r="L277" i="7"/>
  <c r="H277" i="7"/>
  <c r="Q256" i="7"/>
  <c r="Q260" i="7"/>
  <c r="K94" i="7"/>
  <c r="I255" i="7" s="1"/>
  <c r="B256" i="7"/>
  <c r="L270" i="7"/>
  <c r="H270" i="7"/>
  <c r="K270" i="7"/>
  <c r="J270" i="7"/>
  <c r="B258" i="7"/>
  <c r="Q259" i="7"/>
  <c r="L274" i="7"/>
  <c r="B262" i="7"/>
  <c r="Q263" i="7"/>
  <c r="I271" i="7"/>
  <c r="L271" i="7"/>
  <c r="H271" i="7"/>
  <c r="K271" i="7"/>
  <c r="I275" i="7"/>
  <c r="L275" i="7"/>
  <c r="H275" i="7"/>
  <c r="K275" i="7"/>
  <c r="I279" i="7"/>
  <c r="L279" i="7"/>
  <c r="H279" i="7"/>
  <c r="K279" i="7"/>
  <c r="Q257" i="7"/>
  <c r="J272" i="7"/>
  <c r="Q261" i="7"/>
  <c r="J276" i="7"/>
  <c r="Q265" i="7"/>
  <c r="J271" i="7"/>
  <c r="K290" i="7"/>
  <c r="Z290" i="7" s="1"/>
  <c r="J279" i="7"/>
  <c r="H272" i="7"/>
  <c r="L272" i="7"/>
  <c r="J274" i="7"/>
  <c r="H276" i="7"/>
  <c r="L276" i="7"/>
  <c r="J278" i="7"/>
  <c r="I272" i="7"/>
  <c r="K274" i="7"/>
  <c r="I276" i="7"/>
  <c r="K278" i="7"/>
  <c r="H274" i="7"/>
  <c r="H278" i="7"/>
  <c r="D158" i="5"/>
  <c r="I205" i="7" s="1"/>
  <c r="H31" i="5"/>
  <c r="I31" i="5" s="1"/>
  <c r="E24" i="5"/>
  <c r="I127" i="7" s="1"/>
  <c r="S127" i="7" s="1"/>
  <c r="E32" i="5"/>
  <c r="I129" i="7" s="1"/>
  <c r="Q129" i="7" s="1"/>
  <c r="E40" i="5"/>
  <c r="I131" i="7" s="1"/>
  <c r="S131" i="7" s="1"/>
  <c r="C206" i="5"/>
  <c r="J176" i="7" s="1"/>
  <c r="C202" i="5"/>
  <c r="B206" i="5" s="1"/>
  <c r="D13" i="14"/>
  <c r="J223" i="7"/>
  <c r="E98" i="5"/>
  <c r="K169" i="7" s="1"/>
  <c r="W169" i="7" s="1"/>
  <c r="H101" i="5"/>
  <c r="D122" i="5"/>
  <c r="G98" i="5"/>
  <c r="M169" i="7" s="1"/>
  <c r="Y169" i="7" s="1"/>
  <c r="F102" i="5"/>
  <c r="L171" i="7" s="1"/>
  <c r="X171" i="7" s="1"/>
  <c r="F122" i="5"/>
  <c r="F131" i="5" s="1"/>
  <c r="N169" i="7"/>
  <c r="Z169" i="7" s="1"/>
  <c r="K171" i="7"/>
  <c r="W171" i="7" s="1"/>
  <c r="H122" i="5"/>
  <c r="N170" i="7"/>
  <c r="Z170" i="7" s="1"/>
  <c r="E101" i="5"/>
  <c r="G102" i="5"/>
  <c r="D98" i="5"/>
  <c r="J169" i="7" s="1"/>
  <c r="F101" i="5"/>
  <c r="D102" i="5"/>
  <c r="J171" i="7" s="1"/>
  <c r="H102" i="5"/>
  <c r="G101" i="5"/>
  <c r="G22" i="5"/>
  <c r="H22" i="5" s="1"/>
  <c r="H25" i="5"/>
  <c r="I25" i="5" s="1"/>
  <c r="H27" i="5"/>
  <c r="H30" i="5"/>
  <c r="I30" i="5" s="1"/>
  <c r="H132" i="7"/>
  <c r="H33" i="5"/>
  <c r="H35" i="5"/>
  <c r="H38" i="5"/>
  <c r="I38" i="5" s="1"/>
  <c r="F44" i="5"/>
  <c r="G21" i="5"/>
  <c r="G23" i="5"/>
  <c r="H23" i="5" s="1"/>
  <c r="G26" i="5"/>
  <c r="G28" i="5" s="1"/>
  <c r="K128" i="7" s="1"/>
  <c r="E28" i="5"/>
  <c r="I128" i="7" s="1"/>
  <c r="G29" i="5"/>
  <c r="G34" i="5"/>
  <c r="G36" i="5" s="1"/>
  <c r="K130" i="7" s="1"/>
  <c r="E36" i="5"/>
  <c r="I130" i="7" s="1"/>
  <c r="G37" i="5"/>
  <c r="H37" i="5" s="1"/>
  <c r="G39" i="5"/>
  <c r="D169" i="5" l="1"/>
  <c r="M234" i="7"/>
  <c r="E136" i="5"/>
  <c r="J229" i="7"/>
  <c r="H269" i="7"/>
  <c r="W283" i="7" s="1"/>
  <c r="L234" i="7"/>
  <c r="K234" i="7"/>
  <c r="K126" i="7"/>
  <c r="N234" i="7"/>
  <c r="E79" i="5"/>
  <c r="E1" i="5"/>
  <c r="F79" i="5" s="1"/>
  <c r="H20" i="5"/>
  <c r="E111" i="5"/>
  <c r="F17" i="14"/>
  <c r="F28" i="14" s="1"/>
  <c r="F37" i="14" s="1"/>
  <c r="J152" i="7"/>
  <c r="G189" i="7" s="1"/>
  <c r="J201" i="7"/>
  <c r="G116" i="7"/>
  <c r="G117" i="7" s="1"/>
  <c r="G118" i="7" s="1"/>
  <c r="G119" i="7" s="1"/>
  <c r="G120" i="7" s="1"/>
  <c r="G121" i="7" s="1"/>
  <c r="J31" i="5"/>
  <c r="K31" i="5" s="1"/>
  <c r="J234" i="7"/>
  <c r="S129" i="7"/>
  <c r="Q160" i="7"/>
  <c r="Q165" i="7"/>
  <c r="Q168" i="7"/>
  <c r="H99" i="5"/>
  <c r="Q162" i="7"/>
  <c r="G99" i="5"/>
  <c r="Q164" i="7"/>
  <c r="Q166" i="7"/>
  <c r="Q163" i="7"/>
  <c r="Q161" i="7"/>
  <c r="I69" i="7"/>
  <c r="Q69" i="7" s="1"/>
  <c r="Q167" i="7"/>
  <c r="Q272" i="7"/>
  <c r="N62" i="5"/>
  <c r="Q278" i="7"/>
  <c r="Q276" i="7"/>
  <c r="N61" i="5"/>
  <c r="N64" i="5"/>
  <c r="Q205" i="7"/>
  <c r="I234" i="7"/>
  <c r="J289" i="7"/>
  <c r="Y289" i="7" s="1"/>
  <c r="L70" i="5"/>
  <c r="H288" i="7"/>
  <c r="W288" i="7" s="1"/>
  <c r="J288" i="7"/>
  <c r="Y288" i="7" s="1"/>
  <c r="Q279" i="7"/>
  <c r="Q293" i="7"/>
  <c r="H293" i="7"/>
  <c r="W293" i="7" s="1"/>
  <c r="K280" i="7"/>
  <c r="Q288" i="7"/>
  <c r="Q274" i="7"/>
  <c r="H291" i="7"/>
  <c r="W291" i="7" s="1"/>
  <c r="K291" i="7"/>
  <c r="Z291" i="7" s="1"/>
  <c r="I287" i="7"/>
  <c r="X287" i="7" s="1"/>
  <c r="K292" i="7"/>
  <c r="Z292" i="7" s="1"/>
  <c r="J292" i="7"/>
  <c r="Y292" i="7" s="1"/>
  <c r="L286" i="7"/>
  <c r="AA286" i="7" s="1"/>
  <c r="J290" i="7"/>
  <c r="Y290" i="7" s="1"/>
  <c r="L293" i="7"/>
  <c r="AA293" i="7" s="1"/>
  <c r="L289" i="7"/>
  <c r="AA289" i="7" s="1"/>
  <c r="L285" i="7"/>
  <c r="AA285" i="7" s="1"/>
  <c r="Q273" i="7"/>
  <c r="Q287" i="7"/>
  <c r="H280" i="7"/>
  <c r="K152" i="7"/>
  <c r="I269" i="7"/>
  <c r="K201" i="7"/>
  <c r="L126" i="7"/>
  <c r="K229" i="7"/>
  <c r="L291" i="7"/>
  <c r="AA291" i="7" s="1"/>
  <c r="J287" i="7"/>
  <c r="Y287" i="7" s="1"/>
  <c r="I290" i="7"/>
  <c r="X290" i="7" s="1"/>
  <c r="L290" i="7"/>
  <c r="AA290" i="7" s="1"/>
  <c r="H286" i="7"/>
  <c r="W286" i="7" s="1"/>
  <c r="Q275" i="7"/>
  <c r="Q289" i="7"/>
  <c r="I293" i="7"/>
  <c r="X293" i="7" s="1"/>
  <c r="I289" i="7"/>
  <c r="X289" i="7" s="1"/>
  <c r="I285" i="7"/>
  <c r="Q277" i="7"/>
  <c r="Q291" i="7"/>
  <c r="L280" i="7"/>
  <c r="F1" i="5"/>
  <c r="F136" i="5"/>
  <c r="F111" i="5"/>
  <c r="I20" i="5"/>
  <c r="I291" i="7"/>
  <c r="X291" i="7" s="1"/>
  <c r="K287" i="7"/>
  <c r="Z287" i="7" s="1"/>
  <c r="I286" i="7"/>
  <c r="X286" i="7" s="1"/>
  <c r="J293" i="7"/>
  <c r="Y293" i="7" s="1"/>
  <c r="Q271" i="7"/>
  <c r="Q285" i="7"/>
  <c r="H289" i="7"/>
  <c r="W289" i="7" s="1"/>
  <c r="H285" i="7"/>
  <c r="W285" i="7" s="1"/>
  <c r="L288" i="7"/>
  <c r="AA288" i="7" s="1"/>
  <c r="Q127" i="7"/>
  <c r="H292" i="7"/>
  <c r="W292" i="7" s="1"/>
  <c r="K288" i="7"/>
  <c r="Z288" i="7" s="1"/>
  <c r="H290" i="7"/>
  <c r="W290" i="7" s="1"/>
  <c r="J285" i="7"/>
  <c r="Y285" i="7" s="1"/>
  <c r="J286" i="7"/>
  <c r="Y286" i="7" s="1"/>
  <c r="K293" i="7"/>
  <c r="Z293" i="7" s="1"/>
  <c r="K289" i="7"/>
  <c r="Z289" i="7" s="1"/>
  <c r="K285" i="7"/>
  <c r="Z285" i="7" s="1"/>
  <c r="J280" i="7"/>
  <c r="I280" i="7"/>
  <c r="Q284" i="7"/>
  <c r="Q270" i="7"/>
  <c r="J291" i="7"/>
  <c r="Y291" i="7" s="1"/>
  <c r="H287" i="7"/>
  <c r="W287" i="7" s="1"/>
  <c r="F99" i="5"/>
  <c r="I57" i="7"/>
  <c r="Q57" i="7" s="1"/>
  <c r="Q131" i="7"/>
  <c r="E13" i="14"/>
  <c r="J243" i="7"/>
  <c r="K223" i="7"/>
  <c r="E206" i="5"/>
  <c r="D206" i="5"/>
  <c r="E103" i="5"/>
  <c r="F103" i="5"/>
  <c r="Q169" i="7"/>
  <c r="V169" i="7"/>
  <c r="G103" i="5"/>
  <c r="M171" i="7"/>
  <c r="Y171" i="7" s="1"/>
  <c r="H103" i="5"/>
  <c r="N171" i="7"/>
  <c r="Z171" i="7" s="1"/>
  <c r="Q170" i="7"/>
  <c r="V171" i="7"/>
  <c r="E99" i="5"/>
  <c r="J38" i="5"/>
  <c r="K38" i="5" s="1"/>
  <c r="H26" i="5"/>
  <c r="H28" i="5" s="1"/>
  <c r="L128" i="7" s="1"/>
  <c r="G24" i="5"/>
  <c r="K127" i="7" s="1"/>
  <c r="I35" i="5"/>
  <c r="J35" i="5" s="1"/>
  <c r="K35" i="5" s="1"/>
  <c r="E41" i="5"/>
  <c r="D155" i="5" s="1"/>
  <c r="G32" i="5"/>
  <c r="K129" i="7" s="1"/>
  <c r="H39" i="5"/>
  <c r="H29" i="5"/>
  <c r="I22" i="5"/>
  <c r="J22" i="5" s="1"/>
  <c r="K22" i="5" s="1"/>
  <c r="I27" i="5"/>
  <c r="J27" i="5" s="1"/>
  <c r="S130" i="7"/>
  <c r="Q130" i="7"/>
  <c r="I132" i="7"/>
  <c r="J209" i="7" s="1"/>
  <c r="G40" i="5"/>
  <c r="I37" i="5"/>
  <c r="J37" i="5" s="1"/>
  <c r="I33" i="5"/>
  <c r="S128" i="7"/>
  <c r="Q128" i="7"/>
  <c r="I23" i="5"/>
  <c r="J23" i="5" s="1"/>
  <c r="K23" i="5" s="1"/>
  <c r="H34" i="5"/>
  <c r="I34" i="5" s="1"/>
  <c r="J25" i="5"/>
  <c r="J30" i="5"/>
  <c r="K30" i="5" s="1"/>
  <c r="H21" i="5"/>
  <c r="G6" i="14" l="1"/>
  <c r="L94" i="7"/>
  <c r="J255" i="7" s="1"/>
  <c r="H283" i="7"/>
  <c r="H299" i="7" s="1"/>
  <c r="Q234" i="7"/>
  <c r="V159" i="7"/>
  <c r="AB291" i="7"/>
  <c r="X285" i="7"/>
  <c r="AB285" i="7" s="1"/>
  <c r="AB293" i="7"/>
  <c r="AB288" i="7"/>
  <c r="E2" i="5"/>
  <c r="L153" i="7"/>
  <c r="AB290" i="7"/>
  <c r="AB286" i="7"/>
  <c r="I283" i="7"/>
  <c r="I299" i="7" s="1"/>
  <c r="X283" i="7"/>
  <c r="D2" i="5"/>
  <c r="K153" i="7"/>
  <c r="W159" i="7"/>
  <c r="H189" i="7"/>
  <c r="N153" i="7"/>
  <c r="G2" i="5"/>
  <c r="AB289" i="7"/>
  <c r="N6" i="14"/>
  <c r="G17" i="14"/>
  <c r="G28" i="14" s="1"/>
  <c r="G37" i="14" s="1"/>
  <c r="F2" i="5"/>
  <c r="M153" i="7"/>
  <c r="H6" i="14"/>
  <c r="G1" i="5"/>
  <c r="G111" i="5"/>
  <c r="G136" i="5"/>
  <c r="M94" i="7"/>
  <c r="K255" i="7" s="1"/>
  <c r="J20" i="5"/>
  <c r="G79" i="5"/>
  <c r="J153" i="7"/>
  <c r="C2" i="5"/>
  <c r="AB292" i="7"/>
  <c r="AB287" i="7"/>
  <c r="I26" i="5"/>
  <c r="I28" i="5" s="1"/>
  <c r="M128" i="7" s="1"/>
  <c r="B223" i="5"/>
  <c r="C207" i="5"/>
  <c r="F13" i="14"/>
  <c r="K243" i="7"/>
  <c r="L223" i="7"/>
  <c r="Q171" i="7"/>
  <c r="I39" i="5"/>
  <c r="I40" i="5" s="1"/>
  <c r="H40" i="5"/>
  <c r="I36" i="5"/>
  <c r="M130" i="7" s="1"/>
  <c r="H32" i="5"/>
  <c r="L129" i="7" s="1"/>
  <c r="K209" i="7"/>
  <c r="K37" i="5"/>
  <c r="H24" i="5"/>
  <c r="L127" i="7" s="1"/>
  <c r="J34" i="5"/>
  <c r="K34" i="5" s="1"/>
  <c r="K131" i="7"/>
  <c r="K132" i="7" s="1"/>
  <c r="G41" i="5"/>
  <c r="D104" i="5" s="1"/>
  <c r="J33" i="5"/>
  <c r="H36" i="5"/>
  <c r="L130" i="7" s="1"/>
  <c r="I209" i="7"/>
  <c r="J239" i="7" s="1"/>
  <c r="J240" i="7" s="1"/>
  <c r="E31" i="14" s="1"/>
  <c r="I54" i="7"/>
  <c r="I21" i="5"/>
  <c r="I24" i="5" s="1"/>
  <c r="M127" i="7" s="1"/>
  <c r="K25" i="5"/>
  <c r="I29" i="5"/>
  <c r="I32" i="5" s="1"/>
  <c r="M129" i="7" s="1"/>
  <c r="K27" i="5"/>
  <c r="L201" i="7" l="1"/>
  <c r="G138" i="5"/>
  <c r="K304" i="7"/>
  <c r="E138" i="5"/>
  <c r="K204" i="7" s="1"/>
  <c r="I304" i="7"/>
  <c r="D138" i="5"/>
  <c r="J204" i="7" s="1"/>
  <c r="H304" i="7"/>
  <c r="Q304" i="7" s="1"/>
  <c r="H138" i="5"/>
  <c r="N204" i="7" s="1"/>
  <c r="L304" i="7"/>
  <c r="F138" i="5"/>
  <c r="J304" i="7"/>
  <c r="M126" i="7"/>
  <c r="J269" i="7"/>
  <c r="J283" i="7" s="1"/>
  <c r="J299" i="7" s="1"/>
  <c r="L152" i="7"/>
  <c r="I189" i="7" s="1"/>
  <c r="L229" i="7"/>
  <c r="J26" i="5"/>
  <c r="J28" i="5" s="1"/>
  <c r="N128" i="7" s="1"/>
  <c r="E18" i="14"/>
  <c r="G190" i="7"/>
  <c r="Q153" i="7"/>
  <c r="N126" i="7"/>
  <c r="M229" i="7"/>
  <c r="M152" i="7"/>
  <c r="M201" i="7"/>
  <c r="K269" i="7"/>
  <c r="H17" i="14"/>
  <c r="H28" i="14" s="1"/>
  <c r="H37" i="14" s="1"/>
  <c r="O6" i="14"/>
  <c r="I18" i="14"/>
  <c r="K190" i="7"/>
  <c r="N154" i="7"/>
  <c r="M204" i="7"/>
  <c r="H2" i="5"/>
  <c r="H18" i="14"/>
  <c r="M154" i="7"/>
  <c r="J190" i="7"/>
  <c r="F18" i="14"/>
  <c r="H190" i="7"/>
  <c r="K154" i="7"/>
  <c r="G18" i="14"/>
  <c r="I190" i="7"/>
  <c r="L154" i="7"/>
  <c r="I6" i="14"/>
  <c r="H136" i="5"/>
  <c r="K20" i="5"/>
  <c r="H79" i="5"/>
  <c r="N94" i="7"/>
  <c r="L255" i="7" s="1"/>
  <c r="H111" i="5"/>
  <c r="J36" i="5"/>
  <c r="N130" i="7" s="1"/>
  <c r="L243" i="7"/>
  <c r="M223" i="7"/>
  <c r="G13" i="14"/>
  <c r="B207" i="5"/>
  <c r="K176" i="7"/>
  <c r="J39" i="5"/>
  <c r="J40" i="5" s="1"/>
  <c r="N131" i="7" s="1"/>
  <c r="K239" i="7"/>
  <c r="K240" i="7" s="1"/>
  <c r="F31" i="14" s="1"/>
  <c r="L209" i="7"/>
  <c r="J29" i="5"/>
  <c r="J32" i="5" s="1"/>
  <c r="N129" i="7" s="1"/>
  <c r="J21" i="5"/>
  <c r="J24" i="5" s="1"/>
  <c r="N127" i="7" s="1"/>
  <c r="J172" i="7"/>
  <c r="D106" i="5"/>
  <c r="D160" i="5" s="1"/>
  <c r="M131" i="7"/>
  <c r="M132" i="7" s="1"/>
  <c r="I41" i="5"/>
  <c r="F104" i="5" s="1"/>
  <c r="I211" i="7"/>
  <c r="I239" i="7"/>
  <c r="K33" i="5"/>
  <c r="K36" i="5" s="1"/>
  <c r="O130" i="7" s="1"/>
  <c r="L131" i="7"/>
  <c r="L132" i="7" s="1"/>
  <c r="H41" i="5"/>
  <c r="E104" i="5" s="1"/>
  <c r="I350" i="7" l="1"/>
  <c r="F350" i="7"/>
  <c r="G350" i="7"/>
  <c r="E350" i="7"/>
  <c r="H350" i="7"/>
  <c r="Y283" i="7"/>
  <c r="X159" i="7"/>
  <c r="K26" i="5"/>
  <c r="K28" i="5" s="1"/>
  <c r="O128" i="7" s="1"/>
  <c r="F19" i="14"/>
  <c r="N233" i="7"/>
  <c r="G19" i="14"/>
  <c r="I19" i="14"/>
  <c r="K233" i="7"/>
  <c r="N229" i="7"/>
  <c r="N152" i="7"/>
  <c r="L269" i="7"/>
  <c r="N201" i="7"/>
  <c r="O126" i="7"/>
  <c r="I17" i="14"/>
  <c r="I28" i="14" s="1"/>
  <c r="I37" i="14" s="1"/>
  <c r="P6" i="14"/>
  <c r="Q154" i="7"/>
  <c r="H19" i="14"/>
  <c r="L204" i="7"/>
  <c r="L233" i="7" s="1"/>
  <c r="Z283" i="7"/>
  <c r="K283" i="7"/>
  <c r="K299" i="7" s="1"/>
  <c r="Y159" i="7"/>
  <c r="J189" i="7"/>
  <c r="J233" i="7"/>
  <c r="K21" i="5"/>
  <c r="K24" i="5" s="1"/>
  <c r="O127" i="7" s="1"/>
  <c r="D207" i="5"/>
  <c r="E207" i="5"/>
  <c r="M243" i="7"/>
  <c r="N223" i="7"/>
  <c r="H13" i="14"/>
  <c r="J41" i="5"/>
  <c r="G104" i="5" s="1"/>
  <c r="M172" i="7" s="1"/>
  <c r="K39" i="5"/>
  <c r="K40" i="5" s="1"/>
  <c r="O131" i="7" s="1"/>
  <c r="N132" i="7"/>
  <c r="J231" i="7"/>
  <c r="J210" i="7"/>
  <c r="J173" i="7"/>
  <c r="V172" i="7"/>
  <c r="L239" i="7"/>
  <c r="L240" i="7" s="1"/>
  <c r="G31" i="14" s="1"/>
  <c r="M209" i="7"/>
  <c r="D9" i="14"/>
  <c r="K172" i="7"/>
  <c r="E106" i="5"/>
  <c r="E105" i="5"/>
  <c r="I240" i="7"/>
  <c r="F106" i="5"/>
  <c r="L172" i="7"/>
  <c r="F105" i="5"/>
  <c r="I59" i="7"/>
  <c r="K29" i="5"/>
  <c r="K32" i="5" s="1"/>
  <c r="O129" i="7" s="1"/>
  <c r="G106" i="5" l="1"/>
  <c r="G105" i="5"/>
  <c r="Q204" i="7"/>
  <c r="M233" i="7"/>
  <c r="Q233" i="7" s="1"/>
  <c r="AA283" i="7"/>
  <c r="L283" i="7"/>
  <c r="L299" i="7" s="1"/>
  <c r="K189" i="7"/>
  <c r="Z159" i="7"/>
  <c r="O132" i="7"/>
  <c r="C208" i="5"/>
  <c r="I13" i="14"/>
  <c r="N243" i="7"/>
  <c r="Q243" i="7" s="1"/>
  <c r="Q223" i="7"/>
  <c r="C223" i="5"/>
  <c r="D31" i="14"/>
  <c r="W172" i="7"/>
  <c r="K231" i="7"/>
  <c r="K173" i="7"/>
  <c r="M173" i="7"/>
  <c r="M231" i="7"/>
  <c r="Y172" i="7"/>
  <c r="K210" i="7"/>
  <c r="K41" i="5"/>
  <c r="H104" i="5" s="1"/>
  <c r="L231" i="7"/>
  <c r="X172" i="7"/>
  <c r="L173" i="7"/>
  <c r="M210" i="7"/>
  <c r="M211" i="7" s="1"/>
  <c r="H9" i="14" s="1"/>
  <c r="J174" i="7"/>
  <c r="Q59" i="7"/>
  <c r="N209" i="7"/>
  <c r="M239" i="7"/>
  <c r="L210" i="7"/>
  <c r="J211" i="7"/>
  <c r="J216" i="7" l="1"/>
  <c r="L176" i="7"/>
  <c r="B208" i="5"/>
  <c r="N239" i="7"/>
  <c r="N240" i="7" s="1"/>
  <c r="I31" i="14" s="1"/>
  <c r="L211" i="7"/>
  <c r="G9" i="14" s="1"/>
  <c r="N172" i="7"/>
  <c r="H105" i="5"/>
  <c r="H106" i="5"/>
  <c r="M174" i="7"/>
  <c r="E9" i="14"/>
  <c r="Q209" i="7"/>
  <c r="L174" i="7"/>
  <c r="K211" i="7"/>
  <c r="F9" i="14" s="1"/>
  <c r="K174" i="7"/>
  <c r="M240" i="7"/>
  <c r="Q239" i="7"/>
  <c r="D208" i="5" l="1"/>
  <c r="E208" i="5"/>
  <c r="H31" i="14"/>
  <c r="Q240" i="7"/>
  <c r="N231" i="7"/>
  <c r="Q231" i="7" s="1"/>
  <c r="N173" i="7"/>
  <c r="Z172" i="7"/>
  <c r="Q172" i="7"/>
  <c r="N210" i="7"/>
  <c r="C209" i="5" l="1"/>
  <c r="D223" i="5"/>
  <c r="Q210" i="7"/>
  <c r="N211" i="7"/>
  <c r="N174" i="7"/>
  <c r="Q174" i="7" s="1"/>
  <c r="Q173" i="7"/>
  <c r="K216" i="7" l="1"/>
  <c r="M176" i="7"/>
  <c r="B209" i="5"/>
  <c r="I9" i="14"/>
  <c r="Q211" i="7"/>
  <c r="D209" i="5" l="1"/>
  <c r="E209" i="5"/>
  <c r="E223" i="5" l="1"/>
  <c r="C210" i="5"/>
  <c r="L216" i="7" l="1"/>
  <c r="N176" i="7"/>
  <c r="B210" i="5"/>
  <c r="E210" i="5" s="1"/>
  <c r="C211" i="5" l="1"/>
  <c r="B211" i="5" s="1"/>
  <c r="D211" i="5" s="1"/>
  <c r="G223" i="5" s="1"/>
  <c r="Q176" i="7"/>
  <c r="D210" i="5"/>
  <c r="F223" i="5" l="1"/>
  <c r="N216" i="7"/>
  <c r="E211" i="5"/>
  <c r="E212" i="5" l="1"/>
  <c r="C212" i="5"/>
  <c r="B212" i="5" s="1"/>
  <c r="D212" i="5" s="1"/>
  <c r="H223" i="5" s="1"/>
  <c r="M216" i="7"/>
  <c r="E213" i="5" l="1"/>
  <c r="C213" i="5"/>
  <c r="B213" i="5" s="1"/>
  <c r="D213" i="5" s="1"/>
  <c r="I223" i="5" s="1"/>
  <c r="Q216" i="7"/>
  <c r="E214" i="5" l="1"/>
  <c r="C214" i="5"/>
  <c r="B214" i="5" s="1"/>
  <c r="D214" i="5" s="1"/>
  <c r="J223" i="5" s="1"/>
  <c r="E215" i="5" l="1"/>
  <c r="C215" i="5"/>
  <c r="B215" i="5" l="1"/>
  <c r="C218" i="5"/>
  <c r="C200" i="5" s="1"/>
  <c r="D215" i="5" l="1"/>
  <c r="B218" i="5"/>
  <c r="C201" i="5" s="1"/>
  <c r="K223" i="5" l="1"/>
  <c r="D218" i="5"/>
  <c r="I220" i="7" l="1"/>
  <c r="K220" i="7"/>
  <c r="N220" i="7"/>
  <c r="L220" i="7"/>
  <c r="M220" i="7"/>
  <c r="J220" i="7"/>
  <c r="M242" i="7" l="1"/>
  <c r="M244" i="7" s="1"/>
  <c r="I225" i="7"/>
  <c r="Q220" i="7"/>
  <c r="I242" i="7"/>
  <c r="L242" i="7"/>
  <c r="L244" i="7" s="1"/>
  <c r="N242" i="7"/>
  <c r="N244" i="7" s="1"/>
  <c r="J242" i="7"/>
  <c r="J244" i="7" s="1"/>
  <c r="K242" i="7"/>
  <c r="K244" i="7" s="1"/>
  <c r="F32" i="14" l="1"/>
  <c r="H32" i="14"/>
  <c r="G32" i="14"/>
  <c r="D15" i="14"/>
  <c r="I32" i="14"/>
  <c r="E32" i="14"/>
  <c r="I244" i="7"/>
  <c r="Q242" i="7"/>
  <c r="D32" i="14" l="1"/>
  <c r="D38" i="14" s="1"/>
  <c r="E38" i="14" s="1"/>
  <c r="F38" i="14" s="1"/>
  <c r="G38" i="14" s="1"/>
  <c r="H38" i="14" s="1"/>
  <c r="I38" i="14" s="1"/>
  <c r="Q244" i="7"/>
  <c r="M60" i="5" l="1"/>
  <c r="N60" i="5" s="1"/>
  <c r="N70" i="5" s="1"/>
  <c r="D70" i="5"/>
  <c r="M70" i="5" s="1"/>
  <c r="I284" i="7" l="1"/>
  <c r="J284" i="7"/>
  <c r="H284" i="7"/>
  <c r="L284" i="7"/>
  <c r="K284" i="7"/>
  <c r="L294" i="7" l="1"/>
  <c r="AA284" i="7"/>
  <c r="W284" i="7"/>
  <c r="H294" i="7"/>
  <c r="Y284" i="7"/>
  <c r="J294" i="7"/>
  <c r="Z284" i="7"/>
  <c r="K294" i="7"/>
  <c r="I294" i="7"/>
  <c r="X284" i="7"/>
  <c r="M294" i="7" l="1"/>
  <c r="AB284" i="7"/>
  <c r="M155" i="7"/>
  <c r="J155" i="7"/>
  <c r="L155" i="7"/>
  <c r="K155" i="7"/>
  <c r="N155" i="7"/>
  <c r="E137" i="5" l="1"/>
  <c r="K206" i="7" s="1"/>
  <c r="E139" i="5"/>
  <c r="K215" i="7" s="1"/>
  <c r="F357" i="7"/>
  <c r="D139" i="5"/>
  <c r="J215" i="7" s="1"/>
  <c r="E357" i="7"/>
  <c r="D137" i="5"/>
  <c r="F139" i="5"/>
  <c r="F137" i="5"/>
  <c r="L206" i="7" s="1"/>
  <c r="G357" i="7"/>
  <c r="H139" i="5"/>
  <c r="N215" i="7" s="1"/>
  <c r="I357" i="7"/>
  <c r="H137" i="5"/>
  <c r="N206" i="7" s="1"/>
  <c r="G139" i="5"/>
  <c r="M215" i="7" s="1"/>
  <c r="H357" i="7"/>
  <c r="G137" i="5"/>
  <c r="M206" i="7" s="1"/>
  <c r="E20" i="14"/>
  <c r="Q155" i="7"/>
  <c r="J156" i="7"/>
  <c r="E358" i="7" s="1"/>
  <c r="L156" i="7"/>
  <c r="G358" i="7" s="1"/>
  <c r="G20" i="14"/>
  <c r="M156" i="7"/>
  <c r="H358" i="7" s="1"/>
  <c r="H20" i="14"/>
  <c r="I20" i="14"/>
  <c r="N156" i="7"/>
  <c r="I358" i="7" s="1"/>
  <c r="F20" i="14"/>
  <c r="K156" i="7"/>
  <c r="F358" i="7" s="1"/>
  <c r="N15" i="14" l="1"/>
  <c r="P15" i="14"/>
  <c r="I191" i="7"/>
  <c r="L157" i="7"/>
  <c r="L175" i="7"/>
  <c r="G21" i="14"/>
  <c r="J217" i="7"/>
  <c r="J236" i="7"/>
  <c r="H191" i="7"/>
  <c r="K175" i="7"/>
  <c r="F21" i="14"/>
  <c r="K157" i="7"/>
  <c r="L235" i="7"/>
  <c r="N235" i="7"/>
  <c r="M217" i="7"/>
  <c r="H12" i="14" s="1"/>
  <c r="O15" i="14"/>
  <c r="Q156" i="7"/>
  <c r="G191" i="7"/>
  <c r="J157" i="7"/>
  <c r="J175" i="7"/>
  <c r="E21" i="14"/>
  <c r="K217" i="7"/>
  <c r="F12" i="14" s="1"/>
  <c r="K236" i="7"/>
  <c r="I206" i="7"/>
  <c r="L15" i="14" s="1"/>
  <c r="D159" i="5"/>
  <c r="J206" i="7"/>
  <c r="K235" i="7" s="1"/>
  <c r="L215" i="7"/>
  <c r="M236" i="7" s="1"/>
  <c r="F148" i="5"/>
  <c r="M235" i="7"/>
  <c r="M175" i="7"/>
  <c r="M157" i="7"/>
  <c r="H21" i="14"/>
  <c r="J191" i="7"/>
  <c r="N236" i="7"/>
  <c r="N217" i="7"/>
  <c r="I12" i="14" s="1"/>
  <c r="N175" i="7"/>
  <c r="N157" i="7"/>
  <c r="K191" i="7"/>
  <c r="I21" i="14"/>
  <c r="I58" i="7" l="1"/>
  <c r="D162" i="5"/>
  <c r="E22" i="14"/>
  <c r="J235" i="7"/>
  <c r="N177" i="7"/>
  <c r="H22" i="14"/>
  <c r="L217" i="7"/>
  <c r="G12" i="14" s="1"/>
  <c r="L236" i="7"/>
  <c r="Q236" i="7" s="1"/>
  <c r="Q175" i="7"/>
  <c r="J177" i="7"/>
  <c r="F22" i="14"/>
  <c r="E12" i="14"/>
  <c r="G22" i="14"/>
  <c r="M177" i="7"/>
  <c r="K300" i="7" s="1"/>
  <c r="K305" i="7" s="1"/>
  <c r="K306" i="7" s="1"/>
  <c r="Q206" i="7"/>
  <c r="I203" i="7"/>
  <c r="I235" i="7"/>
  <c r="I22" i="14"/>
  <c r="M15" i="14"/>
  <c r="Q157" i="7"/>
  <c r="K177" i="7"/>
  <c r="Q215" i="7"/>
  <c r="L177" i="7"/>
  <c r="K301" i="7" l="1"/>
  <c r="K302" i="7"/>
  <c r="L178" i="7"/>
  <c r="L96" i="7" s="1"/>
  <c r="L97" i="7" s="1"/>
  <c r="J300" i="7"/>
  <c r="J305" i="7" s="1"/>
  <c r="J306" i="7" s="1"/>
  <c r="H300" i="7"/>
  <c r="H305" i="7" s="1"/>
  <c r="H306" i="7" s="1"/>
  <c r="J98" i="7"/>
  <c r="K178" i="7"/>
  <c r="K96" i="7" s="1"/>
  <c r="K97" i="7" s="1"/>
  <c r="I300" i="7"/>
  <c r="I305" i="7" s="1"/>
  <c r="I306" i="7" s="1"/>
  <c r="N178" i="7"/>
  <c r="N96" i="7" s="1"/>
  <c r="N97" i="7" s="1"/>
  <c r="L300" i="7"/>
  <c r="L305" i="7" s="1"/>
  <c r="L306" i="7" s="1"/>
  <c r="B179" i="5"/>
  <c r="D179" i="5"/>
  <c r="M98" i="7"/>
  <c r="J192" i="7"/>
  <c r="H23" i="14"/>
  <c r="H24" i="14" s="1"/>
  <c r="Q177" i="7"/>
  <c r="E23" i="14"/>
  <c r="E24" i="14" s="1"/>
  <c r="G192" i="7"/>
  <c r="I237" i="7"/>
  <c r="I247" i="7" s="1"/>
  <c r="Q235" i="7"/>
  <c r="M178" i="7"/>
  <c r="Q217" i="7"/>
  <c r="J178" i="7"/>
  <c r="L98" i="7"/>
  <c r="I192" i="7"/>
  <c r="G23" i="14"/>
  <c r="G24" i="14" s="1"/>
  <c r="I207" i="7"/>
  <c r="H192" i="7"/>
  <c r="K98" i="7"/>
  <c r="F23" i="14"/>
  <c r="F24" i="14" s="1"/>
  <c r="I23" i="14"/>
  <c r="I24" i="14" s="1"/>
  <c r="N98" i="7"/>
  <c r="K192" i="7"/>
  <c r="I61" i="7"/>
  <c r="Q58" i="7"/>
  <c r="K193" i="7" l="1"/>
  <c r="N180" i="7"/>
  <c r="G3" i="5"/>
  <c r="G4" i="5" s="1"/>
  <c r="D3" i="5"/>
  <c r="D4" i="5" s="1"/>
  <c r="E3" i="5"/>
  <c r="E4" i="5" s="1"/>
  <c r="L179" i="7"/>
  <c r="L302" i="7"/>
  <c r="L301" i="7"/>
  <c r="H193" i="7"/>
  <c r="K179" i="7"/>
  <c r="L180" i="7"/>
  <c r="H302" i="7"/>
  <c r="Q302" i="7" s="1"/>
  <c r="Q303" i="7" s="1"/>
  <c r="H301" i="7"/>
  <c r="Q301" i="7" s="1"/>
  <c r="I302" i="7"/>
  <c r="I301" i="7"/>
  <c r="J301" i="7"/>
  <c r="J302" i="7"/>
  <c r="I193" i="7"/>
  <c r="N179" i="7"/>
  <c r="M11" i="14"/>
  <c r="N9" i="14"/>
  <c r="N10" i="14" s="1"/>
  <c r="G25" i="14"/>
  <c r="L9" i="14"/>
  <c r="L10" i="14" s="1"/>
  <c r="E25" i="14"/>
  <c r="O11" i="14"/>
  <c r="D30" i="14"/>
  <c r="P11" i="14"/>
  <c r="M9" i="14"/>
  <c r="M10" i="14" s="1"/>
  <c r="F25" i="14"/>
  <c r="C3" i="5"/>
  <c r="J224" i="7"/>
  <c r="G193" i="7"/>
  <c r="J179" i="7"/>
  <c r="J96" i="7"/>
  <c r="J97" i="7" s="1"/>
  <c r="L11" i="14"/>
  <c r="M180" i="7"/>
  <c r="J193" i="7"/>
  <c r="M179" i="7"/>
  <c r="M96" i="7"/>
  <c r="M97" i="7" s="1"/>
  <c r="F3" i="5"/>
  <c r="F4" i="5" s="1"/>
  <c r="P9" i="14"/>
  <c r="P10" i="14" s="1"/>
  <c r="I25" i="14"/>
  <c r="D8" i="14"/>
  <c r="D10" i="14" s="1"/>
  <c r="I212" i="7"/>
  <c r="N11" i="14"/>
  <c r="K180" i="7"/>
  <c r="O9" i="14"/>
  <c r="O10" i="14" s="1"/>
  <c r="H25" i="14"/>
  <c r="I226" i="7" l="1"/>
  <c r="Q300" i="7"/>
  <c r="J225" i="7"/>
  <c r="J230" i="7"/>
  <c r="E14" i="14"/>
  <c r="J203" i="7"/>
  <c r="K224" i="7"/>
  <c r="H3" i="5"/>
  <c r="H4" i="5" s="1"/>
  <c r="C4" i="5"/>
  <c r="J246" i="7"/>
  <c r="D34" i="14"/>
  <c r="I248" i="7"/>
  <c r="E33" i="14" l="1"/>
  <c r="J207" i="7"/>
  <c r="E15" i="14"/>
  <c r="K225" i="7"/>
  <c r="K230" i="7"/>
  <c r="K232" i="7" s="1"/>
  <c r="F14" i="14"/>
  <c r="K203" i="7"/>
  <c r="K207" i="7" s="1"/>
  <c r="L224" i="7"/>
  <c r="J232" i="7"/>
  <c r="K237" i="7" l="1"/>
  <c r="F29" i="14"/>
  <c r="F15" i="14"/>
  <c r="E29" i="14"/>
  <c r="J237" i="7"/>
  <c r="E8" i="14"/>
  <c r="E10" i="14" s="1"/>
  <c r="J212" i="7"/>
  <c r="L230" i="7"/>
  <c r="G14" i="14"/>
  <c r="L225" i="7"/>
  <c r="L203" i="7"/>
  <c r="L207" i="7" s="1"/>
  <c r="M224" i="7"/>
  <c r="K212" i="7"/>
  <c r="K226" i="7" s="1"/>
  <c r="F8" i="14"/>
  <c r="F10" i="14" s="1"/>
  <c r="M230" i="7" l="1"/>
  <c r="M232" i="7" s="1"/>
  <c r="M225" i="7"/>
  <c r="H14" i="14"/>
  <c r="M203" i="7"/>
  <c r="N224" i="7"/>
  <c r="L212" i="7"/>
  <c r="L226" i="7" s="1"/>
  <c r="G8" i="14"/>
  <c r="G10" i="14" s="1"/>
  <c r="J247" i="7"/>
  <c r="E30" i="14"/>
  <c r="L232" i="7"/>
  <c r="J226" i="7"/>
  <c r="G15" i="14"/>
  <c r="F30" i="14"/>
  <c r="L237" i="7" l="1"/>
  <c r="G29" i="14"/>
  <c r="H15" i="14"/>
  <c r="M207" i="7"/>
  <c r="H107" i="7"/>
  <c r="K246" i="7"/>
  <c r="E34" i="14"/>
  <c r="E40" i="14" s="1"/>
  <c r="E39" i="14" s="1"/>
  <c r="J248" i="7"/>
  <c r="N230" i="7"/>
  <c r="I14" i="14"/>
  <c r="N225" i="7"/>
  <c r="N203" i="7"/>
  <c r="N207" i="7" s="1"/>
  <c r="Q224" i="7"/>
  <c r="M237" i="7"/>
  <c r="H29" i="14"/>
  <c r="I15" i="14" l="1"/>
  <c r="Q225" i="7"/>
  <c r="Q203" i="7"/>
  <c r="N212" i="7"/>
  <c r="N226" i="7" s="1"/>
  <c r="I8" i="14"/>
  <c r="I10" i="14" s="1"/>
  <c r="M212" i="7"/>
  <c r="H8" i="14"/>
  <c r="H10" i="14" s="1"/>
  <c r="Q207" i="7"/>
  <c r="J107" i="7"/>
  <c r="H117" i="7" s="1"/>
  <c r="U106" i="7"/>
  <c r="L107" i="7"/>
  <c r="H30" i="14"/>
  <c r="N232" i="7"/>
  <c r="Q230" i="7"/>
  <c r="F33" i="14"/>
  <c r="K247" i="7"/>
  <c r="G30" i="14"/>
  <c r="Q212" i="7" l="1"/>
  <c r="M226" i="7"/>
  <c r="T107" i="7"/>
  <c r="K248" i="7"/>
  <c r="F34" i="14"/>
  <c r="F40" i="14" s="1"/>
  <c r="F39" i="14" s="1"/>
  <c r="L246" i="7"/>
  <c r="H108" i="7"/>
  <c r="J108" i="7" s="1"/>
  <c r="H118" i="7" s="1"/>
  <c r="N237" i="7"/>
  <c r="I29" i="14"/>
  <c r="Q232" i="7"/>
  <c r="I30" i="14" l="1"/>
  <c r="Q237" i="7"/>
  <c r="L108" i="7"/>
  <c r="G33" i="14"/>
  <c r="L247" i="7"/>
  <c r="U107" i="7"/>
  <c r="T108" i="7" l="1"/>
  <c r="M246" i="7"/>
  <c r="G34" i="14"/>
  <c r="G40" i="14" s="1"/>
  <c r="G39" i="14" s="1"/>
  <c r="L248" i="7"/>
  <c r="H109" i="7"/>
  <c r="J109" i="7" s="1"/>
  <c r="H119" i="7" s="1"/>
  <c r="H33" i="14" l="1"/>
  <c r="M247" i="7"/>
  <c r="L109" i="7"/>
  <c r="U108" i="7"/>
  <c r="N246" i="7" l="1"/>
  <c r="H110" i="7"/>
  <c r="J110" i="7" s="1"/>
  <c r="H120" i="7" s="1"/>
  <c r="H34" i="14"/>
  <c r="H40" i="14" s="1"/>
  <c r="H39" i="14" s="1"/>
  <c r="M248" i="7"/>
  <c r="T109" i="7"/>
  <c r="U109" i="7" l="1"/>
  <c r="L110" i="7"/>
  <c r="T110" i="7" s="1"/>
  <c r="I33" i="14"/>
  <c r="N247" i="7"/>
  <c r="Q246" i="7"/>
  <c r="H111" i="7" l="1"/>
  <c r="N248" i="7"/>
  <c r="I34" i="14"/>
  <c r="I40" i="14" s="1"/>
  <c r="I39" i="14" s="1"/>
  <c r="Q247" i="7"/>
  <c r="J111" i="7" l="1"/>
  <c r="H121" i="7" s="1"/>
  <c r="L111" i="7"/>
  <c r="T111" i="7" s="1"/>
  <c r="U110" i="7"/>
  <c r="U112" i="7" s="1"/>
  <c r="T112" i="7" l="1"/>
  <c r="L112" i="7" s="1"/>
  <c r="I2" i="5" l="1"/>
  <c r="J99" i="7"/>
  <c r="L8" i="1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0100-000001000000}">
      <text>
        <r>
          <rPr>
            <sz val="11"/>
            <color rgb="FF000000"/>
            <rFont val="Calibri"/>
            <family val="2"/>
          </rPr>
          <t>ملاحظات:
اذا احتوت الخلية على مثلث احمر من الأعلى فقد تحتوي على ملاحظة مهمة، لعرضها ضع المؤشر اعلى الخلية</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Jaafar Ahmad Hussein Alsharif</author>
    <author/>
  </authors>
  <commentList>
    <comment ref="D14" authorId="0" shapeId="0" xr:uid="{00000000-0006-0000-0200-000001000000}">
      <text>
        <r>
          <rPr>
            <b/>
            <sz val="9"/>
            <color indexed="81"/>
            <rFont val="Tahoma"/>
            <family val="2"/>
          </rPr>
          <t>ادخل اسم العملة التي تود ان تستخدمها لكتابة التقرير</t>
        </r>
      </text>
    </comment>
    <comment ref="D16" authorId="1" shapeId="0" xr:uid="{00000000-0006-0000-0200-000002000000}">
      <text>
        <r>
          <rPr>
            <sz val="11"/>
            <color rgb="FF000000"/>
            <rFont val="Calibri"/>
            <family val="2"/>
          </rPr>
          <t>ادخل العملة التي تود استعراضها في التقرير (و ادخل سعر الصرف )</t>
        </r>
      </text>
    </comment>
    <comment ref="D17" authorId="1" shapeId="0" xr:uid="{00000000-0006-0000-0200-000003000000}">
      <text>
        <r>
          <rPr>
            <sz val="11"/>
            <color rgb="FF000000"/>
            <rFont val="Calibri"/>
            <family val="2"/>
          </rPr>
          <t>ادخل سعر الصرف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Jaafar Ahmad Hussein Alsharif</author>
    <author>jaafar alsharif</author>
  </authors>
  <commentList>
    <comment ref="B5" authorId="0" shapeId="0" xr:uid="{00000000-0006-0000-0300-000001000000}">
      <text>
        <r>
          <rPr>
            <sz val="11"/>
            <color rgb="FF000000"/>
            <rFont val="Calibri"/>
            <family val="2"/>
          </rPr>
          <t xml:space="preserve">لعرض الإدخالات: 
قم بالنقر على زر (+) الموجود على يمين الصفحة 
أو (بجانب عدد الأسطر)
</t>
        </r>
      </text>
    </comment>
    <comment ref="C20" authorId="1" shapeId="0" xr:uid="{00000000-0006-0000-0300-000002000000}">
      <text>
        <r>
          <rPr>
            <b/>
            <sz val="9"/>
            <color indexed="81"/>
            <rFont val="Tahoma"/>
            <family val="2"/>
          </rPr>
          <t>مثال:</t>
        </r>
        <r>
          <rPr>
            <sz val="9"/>
            <color indexed="81"/>
            <rFont val="Tahoma"/>
            <family val="2"/>
          </rPr>
          <t xml:space="preserve"> لو افترضنا انه يتم شراء 5  كمبيوترات بقيمة متوسطة 2500 ريال فسيتم الإدخال كالتالي
 العدد : 5 
متوسط قيمة الكمبيوتر الواحد: 2500</t>
        </r>
      </text>
    </comment>
    <comment ref="K20" authorId="2" shapeId="0" xr:uid="{00000000-0006-0000-0300-000003000000}">
      <text>
        <r>
          <rPr>
            <b/>
            <sz val="9"/>
            <color indexed="81"/>
            <rFont val="Tahoma"/>
            <family val="2"/>
          </rPr>
          <t xml:space="preserve">قم بإدخال 
</t>
        </r>
        <r>
          <rPr>
            <sz val="9"/>
            <color indexed="81"/>
            <rFont val="Tahoma"/>
            <family val="2"/>
          </rPr>
          <t>1- العدد
2- القيمة 
3- مدة الإستهلاك بالسنوات
________________________________
يتم احتساب استهلاك الأصول الثابتة (تناقص قيمة الممتلكات) وتقسيم قيمتها على عدة سنوات على سبيل المثال 
(عند شراء مركبة فإنه و في كل سنة  ستقل قيمتها السوقية وقد تستهلك بالكامل) 
وهنا يجب تحميل المصاريف قيمة استهلاك السيارة بشكل كامل وعلى عدة سنوات"
و سيظهر هذا الأثر على الميزانية وقائمة الدخل . 
وفي هذه الدراسة يتم احتساب الإستهلاك بحسب معيار القسط الثابت</t>
        </r>
      </text>
    </comment>
    <comment ref="H104" authorId="1" shapeId="0" xr:uid="{00000000-0006-0000-0300-000004000000}">
      <text>
        <r>
          <rPr>
            <sz val="9"/>
            <color indexed="81"/>
            <rFont val="Tahoma"/>
            <family val="2"/>
          </rPr>
          <t>يتم احتساب اهتلاك الأصول الثابتة (تناقص قيمة الممتلكات) وتقسيم قيمتها على عدة سنوات على سبيل المثال 
(عند شراء مركبة فإنه و في كل سنة  ستقل قيمتها السوقية وقد تستهلك بالكامل) 
وهنا يجب تحميل المصاريف قيمة استهلاك السيارة بشكل كامل وعلى عدة سنوات"
و سيظهر هذا الأثر على الميزانية وقائمة الدخل . 
وفي هذه الدراسة يتم احتساب الإستهلاك بحسب معيار القسط الثابت</t>
        </r>
      </text>
    </comment>
    <comment ref="B128" authorId="0" shapeId="0" xr:uid="{00000000-0006-0000-0300-000005000000}">
      <text>
        <r>
          <rPr>
            <sz val="11"/>
            <color rgb="FF000000"/>
            <rFont val="Calibri"/>
            <family val="2"/>
          </rPr>
          <t>مثال: (ضريبة الدخل / الزكاة)
اما ضريبة القيمة المضافة VAT فلا يتم إحتسابها حيث انه يتم استردادها من مصلحة الضريبة</t>
        </r>
      </text>
    </comment>
    <comment ref="C136" authorId="1" shapeId="0" xr:uid="{00000000-0006-0000-0300-000006000000}">
      <text>
        <r>
          <rPr>
            <b/>
            <sz val="9"/>
            <color indexed="81"/>
            <rFont val="Tahoma"/>
            <family val="2"/>
          </rPr>
          <t xml:space="preserve">النسبة وعدد الأيام: 
تتفاوت هذه النسب من مشروع لآخر و من مكان لآخر، 
</t>
        </r>
        <r>
          <rPr>
            <sz val="9"/>
            <color indexed="81"/>
            <rFont val="Tahoma"/>
            <family val="2"/>
          </rPr>
          <t xml:space="preserve">وبعض المشاريع الخدمية قد لا يكون لديهم مخزون او تعاملات بالأجل، فإذا كانت احد البنود التالية غير مطابقة لمشروعك فضع القيمة " 0 " </t>
        </r>
      </text>
    </comment>
    <comment ref="D146" authorId="1" shapeId="0" xr:uid="{00000000-0006-0000-0300-000007000000}">
      <text>
        <r>
          <rPr>
            <b/>
            <sz val="9"/>
            <color indexed="81"/>
            <rFont val="Tahoma"/>
            <family val="2"/>
          </rPr>
          <t xml:space="preserve">ادخل الفترة بالأشهر :
</t>
        </r>
        <r>
          <rPr>
            <sz val="9"/>
            <color indexed="81"/>
            <rFont val="Tahoma"/>
            <family val="2"/>
          </rPr>
          <t xml:space="preserve">غالبا قد لا تكون هناك مبيعات في فترة التأسيس، او قد تكون المبيعات قليلة في اول الفترة ، 
وعليه انه لا بد من احتساب مصاريف هذه الفترة وأخذها بعين الإعتبار لمعرفة مبلغ التمويل الأولي للمشروع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Jaafar Ahmad Hussein Alsharif</author>
  </authors>
  <commentList>
    <comment ref="D203" authorId="0" shapeId="0" xr:uid="{00000000-0006-0000-0400-000001000000}">
      <text>
        <r>
          <rPr>
            <b/>
            <sz val="9"/>
            <color indexed="81"/>
            <rFont val="Tahoma"/>
            <family val="2"/>
          </rPr>
          <t>البنك:</t>
        </r>
        <r>
          <rPr>
            <sz val="9"/>
            <color indexed="81"/>
            <rFont val="Tahoma"/>
            <family val="2"/>
          </rPr>
          <t xml:space="preserve"> هو مقدار النقد الموجود في البنك، وفي هذا التحليل تم اضافة فرق النقد المتدفق من
 (رأس المال ، و القروض  و الأرباح غير الموزعة)</t>
        </r>
      </text>
    </comment>
    <comment ref="D204" authorId="0" shapeId="0" xr:uid="{00000000-0006-0000-0400-000002000000}">
      <text>
        <r>
          <rPr>
            <b/>
            <sz val="9"/>
            <color indexed="81"/>
            <rFont val="Tahoma"/>
            <family val="2"/>
          </rPr>
          <t xml:space="preserve">العملاء: </t>
        </r>
        <r>
          <rPr>
            <sz val="9"/>
            <color indexed="81"/>
            <rFont val="Tahoma"/>
            <family val="2"/>
          </rPr>
          <t>رصيد العملاء غير المسدد ويتم احتسابه من خلال النسبة المحددة في صفحة التوقعات المالية</t>
        </r>
      </text>
    </comment>
    <comment ref="D206" authorId="0" shapeId="0" xr:uid="{00000000-0006-0000-0400-000003000000}">
      <text>
        <r>
          <rPr>
            <b/>
            <sz val="9"/>
            <color indexed="81"/>
            <rFont val="Tahoma"/>
            <family val="2"/>
          </rPr>
          <t xml:space="preserve">المخزون: </t>
        </r>
        <r>
          <rPr>
            <sz val="9"/>
            <color indexed="81"/>
            <rFont val="Tahoma"/>
            <family val="2"/>
          </rPr>
          <t>قيمة البضاعة الموجودة في المخازن ويتم احتسابها من خلال النسبة المحددة في صفحة التوقعات المالية</t>
        </r>
      </text>
    </comment>
    <comment ref="D209" authorId="0" shapeId="0" xr:uid="{00000000-0006-0000-0400-000004000000}">
      <text>
        <r>
          <rPr>
            <b/>
            <sz val="9"/>
            <color indexed="81"/>
            <rFont val="Tahoma"/>
            <family val="2"/>
          </rPr>
          <t xml:space="preserve">الموجودات: </t>
        </r>
        <r>
          <rPr>
            <sz val="9"/>
            <color indexed="81"/>
            <rFont val="Tahoma"/>
            <family val="2"/>
          </rPr>
          <t xml:space="preserve">هي قيمة الأصول الثابتة التي تم شراءها </t>
        </r>
      </text>
    </comment>
    <comment ref="D210" authorId="0" shapeId="0" xr:uid="{00000000-0006-0000-0400-000005000000}">
      <text>
        <r>
          <rPr>
            <b/>
            <sz val="9"/>
            <color indexed="81"/>
            <rFont val="Tahoma"/>
            <family val="2"/>
          </rPr>
          <t xml:space="preserve">مجمع استهلاك الأصول الثابتة: </t>
        </r>
        <r>
          <rPr>
            <sz val="9"/>
            <color indexed="81"/>
            <rFont val="Tahoma"/>
            <family val="2"/>
          </rPr>
          <t>هي القيمة المتناقصة من مجموع الاصول خلال فترة الفترة</t>
        </r>
      </text>
    </comment>
    <comment ref="D215" authorId="0" shapeId="0" xr:uid="{00000000-0006-0000-0400-000006000000}">
      <text>
        <r>
          <rPr>
            <b/>
            <sz val="9"/>
            <color indexed="81"/>
            <rFont val="Tahoma"/>
            <family val="2"/>
          </rPr>
          <t xml:space="preserve">الموردين: </t>
        </r>
        <r>
          <rPr>
            <sz val="9"/>
            <color indexed="81"/>
            <rFont val="Tahoma"/>
            <family val="2"/>
          </rPr>
          <t>رصيد الموردين غير المسدد ويتم احتسابه من خلال النسبة المحددة في صفحة التوقعات المالية</t>
        </r>
      </text>
    </comment>
    <comment ref="D216" authorId="0" shapeId="0" xr:uid="{00000000-0006-0000-0400-000007000000}">
      <text>
        <r>
          <rPr>
            <b/>
            <sz val="9"/>
            <color indexed="81"/>
            <rFont val="Tahoma"/>
            <family val="2"/>
          </rPr>
          <t xml:space="preserve">قروض قصيرة الأجل: </t>
        </r>
        <r>
          <rPr>
            <sz val="9"/>
            <color indexed="81"/>
            <rFont val="Tahoma"/>
            <family val="2"/>
          </rPr>
          <t xml:space="preserve">هو رصيد القروض التي يجب سدادها خلال سنة واحدة او اقل </t>
        </r>
      </text>
    </comment>
    <comment ref="D220" authorId="0" shapeId="0" xr:uid="{00000000-0006-0000-0400-000008000000}">
      <text>
        <r>
          <rPr>
            <b/>
            <sz val="9"/>
            <color indexed="81"/>
            <rFont val="Tahoma"/>
            <family val="2"/>
          </rPr>
          <t xml:space="preserve">قروض طويلة الأجل: </t>
        </r>
        <r>
          <rPr>
            <sz val="9"/>
            <color indexed="81"/>
            <rFont val="Tahoma"/>
            <family val="2"/>
          </rPr>
          <t>هي رصيد القروض التي يجب سدادها خلال فترة اكثر من سنة</t>
        </r>
      </text>
    </comment>
  </commentList>
</comments>
</file>

<file path=xl/sharedStrings.xml><?xml version="1.0" encoding="utf-8"?>
<sst xmlns="http://schemas.openxmlformats.org/spreadsheetml/2006/main" count="896" uniqueCount="308">
  <si>
    <t>التوقعات المالية</t>
  </si>
  <si>
    <t>الاستثمار الأولي</t>
  </si>
  <si>
    <t>الإجمالي</t>
  </si>
  <si>
    <t>الاصل</t>
  </si>
  <si>
    <t>قيمة الوحدة</t>
  </si>
  <si>
    <t>العدد</t>
  </si>
  <si>
    <t>المجموع</t>
  </si>
  <si>
    <t xml:space="preserve">المجموع </t>
  </si>
  <si>
    <t>حجم المبيعات في العام</t>
  </si>
  <si>
    <t>إجمالي الإيرادات</t>
  </si>
  <si>
    <t>تكلفة المبيعات</t>
  </si>
  <si>
    <t>اجمالي تكلفة المبيعات</t>
  </si>
  <si>
    <t>مجمل الربح</t>
  </si>
  <si>
    <t>فترة الاسترداد</t>
  </si>
  <si>
    <t>العائد على الاستثمار</t>
  </si>
  <si>
    <t>قائمة الدخل المتوقعة</t>
  </si>
  <si>
    <t>نسبة النمو</t>
  </si>
  <si>
    <t>صافي الدخل</t>
  </si>
  <si>
    <t>CM</t>
  </si>
  <si>
    <t>WA</t>
  </si>
  <si>
    <t>Sales Mix %</t>
  </si>
  <si>
    <t>-</t>
  </si>
  <si>
    <t xml:space="preserve">البيان </t>
  </si>
  <si>
    <t xml:space="preserve">فترة الاسترداد بالسنوات </t>
  </si>
  <si>
    <t>اسم المشروع</t>
  </si>
  <si>
    <t>الإيميل</t>
  </si>
  <si>
    <t>الموقع الإلكتروني</t>
  </si>
  <si>
    <t xml:space="preserve">الإستثمار الأولي </t>
  </si>
  <si>
    <t>السنة 1</t>
  </si>
  <si>
    <t>السنة 2</t>
  </si>
  <si>
    <t>السنة 3</t>
  </si>
  <si>
    <t>البيان</t>
  </si>
  <si>
    <t>A</t>
  </si>
  <si>
    <t>سنة التأسيس</t>
  </si>
  <si>
    <t>يمكن التعديل و التنسيق من خلال التعديل صفحة التقرير (ولكن سيتم حذف المعادلات في الخلايا التي سيتم تعديلها)</t>
  </si>
  <si>
    <t xml:space="preserve">المصاريف </t>
  </si>
  <si>
    <t>قروض</t>
  </si>
  <si>
    <t>استهلاك الأصول الثابتة</t>
  </si>
  <si>
    <t>إجمالي اجمالي المصاريف</t>
  </si>
  <si>
    <t>المصاريف</t>
  </si>
  <si>
    <t xml:space="preserve">الربح قبل الضرائب و الزكاة </t>
  </si>
  <si>
    <t>هامش الربح</t>
  </si>
  <si>
    <t>٪ المبيعات</t>
  </si>
  <si>
    <t>سعر البيع</t>
  </si>
  <si>
    <t xml:space="preserve">الأصول الثابتة و الإهتلاكات </t>
  </si>
  <si>
    <t xml:space="preserve">الأصول المتداولة </t>
  </si>
  <si>
    <t xml:space="preserve">العملاء </t>
  </si>
  <si>
    <t xml:space="preserve">المخزون </t>
  </si>
  <si>
    <t>الأصول الثابتة</t>
  </si>
  <si>
    <t>صافي الأصول الثابتة</t>
  </si>
  <si>
    <t xml:space="preserve">مجموع الأصول </t>
  </si>
  <si>
    <t>مجموع الأصول المتداولة</t>
  </si>
  <si>
    <t xml:space="preserve">مجمع الإستهلاك </t>
  </si>
  <si>
    <t xml:space="preserve">الخصوم المتداولة </t>
  </si>
  <si>
    <t>قروض قصيرة الأجل</t>
  </si>
  <si>
    <t xml:space="preserve">خصوم غير متداولة </t>
  </si>
  <si>
    <t xml:space="preserve">حقوق الملكية </t>
  </si>
  <si>
    <t xml:space="preserve">رأس المال </t>
  </si>
  <si>
    <t>البنك</t>
  </si>
  <si>
    <t xml:space="preserve">فترة سداد القروض بالسنوات </t>
  </si>
  <si>
    <t xml:space="preserve">مجمل الخصوم و حقوق  الملكية </t>
  </si>
  <si>
    <t xml:space="preserve">التمويل </t>
  </si>
  <si>
    <t>الموردين</t>
  </si>
  <si>
    <t xml:space="preserve">قيمة الأصول </t>
  </si>
  <si>
    <t xml:space="preserve">المصاريف المدفوعة مقدما </t>
  </si>
  <si>
    <t>المصروف الشهري</t>
  </si>
  <si>
    <t>المصاريف المدفوعة مقدما</t>
  </si>
  <si>
    <t xml:space="preserve">المبلغ المطلوب سداده من قيمة القرض خلال الفترة </t>
  </si>
  <si>
    <t>أدخل الفترة المتوقع تمويلها (بالأشهر)</t>
  </si>
  <si>
    <t>القروض</t>
  </si>
  <si>
    <t xml:space="preserve">المبلغ </t>
  </si>
  <si>
    <t>قروض طويلة الأجل</t>
  </si>
  <si>
    <t xml:space="preserve">الإيرادات </t>
  </si>
  <si>
    <t xml:space="preserve">التكلفة </t>
  </si>
  <si>
    <t>الإستثمارات</t>
  </si>
  <si>
    <t>مصاريف مدفوعة مقدما</t>
  </si>
  <si>
    <r>
      <t xml:space="preserve">تحت هذ القسم عليك أن تُقدر مصاريف التشغيل التي سيتكلفها مشروعك. بعض المصاريف التشغيلية الشائعة: الإيجار، فواتير المياه والكهرباء، فواتير الهاتف، الحسابات/مسك الدفاتر، الصيانة، الرسوم القانونية/التأمين/الترخيص، الإعلان والتسويق، الأجور.
</t>
    </r>
    <r>
      <rPr>
        <b/>
        <sz val="11"/>
        <color theme="4" tint="-0.249977111117893"/>
        <rFont val="Arial"/>
        <family val="2"/>
        <scheme val="minor"/>
      </rPr>
      <t/>
    </r>
  </si>
  <si>
    <t>ادخل هنا المصاريف التي تم دفعها مقدما لمدة محددة حسب العقد (مثل عقد الإيجار والتأمين الطبي )</t>
  </si>
  <si>
    <t>Net Present Value</t>
  </si>
  <si>
    <t>IRR</t>
  </si>
  <si>
    <t xml:space="preserve">لإضافة سطر جديد داخل الخلية 
قم بالنقر على Alt و من ثم Enter </t>
  </si>
  <si>
    <t xml:space="preserve">لتعديل المحتوى قم بالنقر مرتين على الخلية ومن ثم قم بالتعديل على نص المحتوى </t>
  </si>
  <si>
    <t>الأصول الثابتة "الموجودات"</t>
  </si>
  <si>
    <t>التأسيس</t>
  </si>
  <si>
    <t>رصيد النقد اول المدة</t>
  </si>
  <si>
    <t>رصيد النقد اخر المدة</t>
  </si>
  <si>
    <t xml:space="preserve">رقم الهاتف </t>
  </si>
  <si>
    <t xml:space="preserve">العنوان </t>
  </si>
  <si>
    <t xml:space="preserve">الإجمالي </t>
  </si>
  <si>
    <t>ادخل المبلغ السنوي  ---&gt;</t>
  </si>
  <si>
    <t>نسبة الى طاقة التشغيل القصوى</t>
  </si>
  <si>
    <t>الرصيد المتبقى</t>
  </si>
  <si>
    <t>تراكمي</t>
  </si>
  <si>
    <t>المصاريف المطلوبة خلال الفترة الأولية للتشغيل</t>
  </si>
  <si>
    <t>فرضيات رأس المال العامل</t>
  </si>
  <si>
    <t xml:space="preserve">رأس المال العامل </t>
  </si>
  <si>
    <t>النفقات الراسمالية</t>
  </si>
  <si>
    <t>صافي الارباح</t>
  </si>
  <si>
    <t>صافي الربح النقدي</t>
  </si>
  <si>
    <t>صافي التدفقات النقدية من العمليات التشغيلية</t>
  </si>
  <si>
    <t>صافي التدفقات النقدية من العمليات الإستثمارية</t>
  </si>
  <si>
    <t>صافي التدفقات النقدية من العمليات التمويلية</t>
  </si>
  <si>
    <t>المخزون - بالايام</t>
  </si>
  <si>
    <t>القيمة</t>
  </si>
  <si>
    <t>شركاء</t>
  </si>
  <si>
    <t>قيمة مخزون اول المدة</t>
  </si>
  <si>
    <t>تلقائي من المصاريف المدفوعة مقدما</t>
  </si>
  <si>
    <t xml:space="preserve">توقعات الأصول و راس المال العامل </t>
  </si>
  <si>
    <t>توقعات النفقات الراسمالية</t>
  </si>
  <si>
    <t xml:space="preserve">توقعات رأس المال العامل </t>
  </si>
  <si>
    <t>صافي التدفقات النقدية</t>
  </si>
  <si>
    <t>قيمة القرض المطلوب سدادها خلال بداية المشروع</t>
  </si>
  <si>
    <t>مجمل القيمة</t>
  </si>
  <si>
    <t>بسم الله الرحمن الرحيم</t>
  </si>
  <si>
    <t>العملة</t>
  </si>
  <si>
    <t>الرواتب والأجور</t>
  </si>
  <si>
    <t>الدراسة المالية</t>
  </si>
  <si>
    <t>السنة 4</t>
  </si>
  <si>
    <t>السنة 5</t>
  </si>
  <si>
    <t>عدد الوحدات</t>
  </si>
  <si>
    <t>مدة الإستهلاك بالسنوات</t>
  </si>
  <si>
    <t>تلقائي الأصول الثابتة</t>
  </si>
  <si>
    <t>تأمينات</t>
  </si>
  <si>
    <t>فترة الإسترداد بالسنوات</t>
  </si>
  <si>
    <t>الإيرادات المتوقعة</t>
  </si>
  <si>
    <t>المبيعات (بالقيمة)</t>
  </si>
  <si>
    <t xml:space="preserve">المصاريف  </t>
  </si>
  <si>
    <t xml:space="preserve">غالبا قد لا تكون هناك مبيعات في فترة التأسيس، او قد تكون المبيعات قليلة في الفترة الأولى للتشغيل ، 
وعليه انه لا بد من احتساب مصاريف هذه الفترة وأخذها بعين الإعتبار لمعرفة مبلغ التمويل الأولي للمشروع </t>
  </si>
  <si>
    <t>موقع الكتروني</t>
  </si>
  <si>
    <t>طباعة</t>
  </si>
  <si>
    <t>Yes</t>
  </si>
  <si>
    <t>p</t>
  </si>
  <si>
    <t>اثاث و ديكور</t>
  </si>
  <si>
    <t>سيارات</t>
  </si>
  <si>
    <t xml:space="preserve">الات و معدات </t>
  </si>
  <si>
    <t xml:space="preserve">مصاريف أخرى </t>
  </si>
  <si>
    <t xml:space="preserve">كمبيوترات و برامج محاسبية </t>
  </si>
  <si>
    <t>فترة الإسترداد</t>
  </si>
  <si>
    <t>نسبة صافي الربح</t>
  </si>
  <si>
    <t>المؤشرات المالية</t>
  </si>
  <si>
    <t>الذمم المدينة (العملاء) - بالايام</t>
  </si>
  <si>
    <t>الذمم الدائنة (الموردين) - بالايام</t>
  </si>
  <si>
    <t xml:space="preserve">الضريبة و الزكاة </t>
  </si>
  <si>
    <t>تكلفة المبيعات (٪)</t>
  </si>
  <si>
    <t xml:space="preserve">فرضيات رأس المال العامل </t>
  </si>
  <si>
    <t>قائمة الدخل</t>
  </si>
  <si>
    <t>نسبة من المبيعات</t>
  </si>
  <si>
    <t>قائمة المركز المالي</t>
  </si>
  <si>
    <t>الخصوم المتداولة</t>
  </si>
  <si>
    <t>الأرباح المجمعة</t>
  </si>
  <si>
    <t>قائمة التدفقات النقدية</t>
  </si>
  <si>
    <t>الإستثمار</t>
  </si>
  <si>
    <t>التدفقات النقدية</t>
  </si>
  <si>
    <t>العائد على الإستثمار</t>
  </si>
  <si>
    <t xml:space="preserve">معدل دوران المخزون </t>
  </si>
  <si>
    <t>الإستثمار الأولي</t>
  </si>
  <si>
    <t>تكلفة المواد المباعة</t>
  </si>
  <si>
    <t xml:space="preserve"> ( ملايين )</t>
  </si>
  <si>
    <t xml:space="preserve"> ( آلاف ) </t>
  </si>
  <si>
    <t>اختر وحدة التقرير  - وحدة ، آلاف، ملايين -------&gt;</t>
  </si>
  <si>
    <t>المبيعات / الإيرادات</t>
  </si>
  <si>
    <r>
      <t xml:space="preserve">الأرباح / </t>
    </r>
    <r>
      <rPr>
        <b/>
        <sz val="11"/>
        <color rgb="FFFF0000"/>
        <rFont val="Calibri"/>
        <family val="2"/>
      </rPr>
      <t>(الخسائر)</t>
    </r>
  </si>
  <si>
    <t>الأصول الثابتة والإستثمارات الأولية</t>
  </si>
  <si>
    <t>الأصول</t>
  </si>
  <si>
    <t>الإستهلاك</t>
  </si>
  <si>
    <r>
      <t xml:space="preserve">الأصول الثابتة أو الموجودات: هي الممتلكات التي تقوم المنشأة بشراءها بغرض استخدامها في النشاط  </t>
    </r>
    <r>
      <rPr>
        <sz val="11"/>
        <color rgb="FFFF0000"/>
        <rFont val="Arial"/>
        <family val="2"/>
        <scheme val="minor"/>
      </rPr>
      <t>(وليس بغرض البيع)</t>
    </r>
    <r>
      <rPr>
        <sz val="11"/>
        <color theme="1"/>
        <rFont val="Arial"/>
        <family val="2"/>
        <scheme val="minor"/>
      </rPr>
      <t>. وفي الغالب تكون مدة إستخدامها عدة سنوات، و من الأمثلة عليها (السيارات، المعدات، الآليات، الأثاث، الكمبيوترات، الأراضي، المباني). و يتم استهلاك الأصول الثابتة و تخفيض قيمتها  بشكل دوري بحسب العمر الإنتاجي او التغير في قيمتها السوقية.</t>
    </r>
  </si>
  <si>
    <r>
      <rPr>
        <u/>
        <sz val="11"/>
        <color rgb="FF366092"/>
        <rFont val="Calibri"/>
        <family val="2"/>
      </rPr>
      <t xml:space="preserve">نتاج هذا الجزء هو دعامة الخطة لمشروعك، حيث أنه عامل رئيسي لاتخاذ قراراتك و جزء مهم سيضعه المستثمر بعين الاعتبار. 
</t>
    </r>
    <r>
      <rPr>
        <b/>
        <u/>
        <sz val="11"/>
        <color rgb="FF366092"/>
        <rFont val="Calibri"/>
        <family val="2"/>
      </rPr>
      <t>في هذا الجزء تحديدا  نود الإجابة على أربع أسئلة رئيسية:</t>
    </r>
    <r>
      <rPr>
        <sz val="11"/>
        <color rgb="FF366092"/>
        <rFont val="Calibri"/>
        <family val="2"/>
      </rPr>
      <t xml:space="preserve">
ما مقدار رأس المال الذي تحتاجه للبدء بالمشروع؟
ماهي قنوات الدخل/المبيعات لديك وما مقدارها؟
ماهي طبيعة مصروفات  وما مقدرها؟
ماهي النتائج المالية للمشروع؟
قد يكون تقدير العائدات والتكاليف امرا  صعبا، ولكن في هذه المرحلة من الدراسة المالية  من المفترض أن يكون لديك معلومات جيدة عن القطاع الذي ستعمل به وهذا سيجعل التقدير مهمة أسهل. إضافة إلى ذلك فإن هذا الملف سيقوم بدوره في إحتساب النتائج والتحاليل.
</t>
    </r>
    <r>
      <rPr>
        <u/>
        <sz val="11"/>
        <color rgb="FFFF0000"/>
        <rFont val="Calibri"/>
        <family val="2"/>
      </rPr>
      <t xml:space="preserve">يجب أن تكون منطقي و واقعي في افتراضاتك </t>
    </r>
  </si>
  <si>
    <t>الأصناف و الخدمات</t>
  </si>
  <si>
    <t>نوع المصروف</t>
  </si>
  <si>
    <t>قيمة الدفعة المقدم</t>
  </si>
  <si>
    <t>الفترة الخاصة بالدفعة المقدمة</t>
  </si>
  <si>
    <t>إيجارات</t>
  </si>
  <si>
    <t>ضريبة - اخرى</t>
  </si>
  <si>
    <t>اذا كان هناك ضريبة دخل او انواع اخرى من الضرائب يتم احتسابها كنسبة من صافي الدخل، قم بإدخالها في الجدول ادناه</t>
  </si>
  <si>
    <t xml:space="preserve">الضرائب و الزكاة </t>
  </si>
  <si>
    <t>ملاحظة: قم ادخال المصاريف كما ستكون في الطاقة الإنتاجية القصوى ، او حسب رؤيتك للمشروع بعد 5 سنوات.</t>
  </si>
  <si>
    <t>مصاريف تأسيس</t>
  </si>
  <si>
    <t>الزكاة</t>
  </si>
  <si>
    <t>نسبة من صافي الدخل</t>
  </si>
  <si>
    <r>
      <rPr>
        <b/>
        <sz val="11"/>
        <color rgb="FF366092"/>
        <rFont val="Calibri"/>
        <family val="2"/>
      </rPr>
      <t>كيف ستمول مشروعك؟</t>
    </r>
    <r>
      <rPr>
        <sz val="11"/>
        <color rgb="FF366092"/>
        <rFont val="Calibri"/>
        <family val="2"/>
      </rPr>
      <t xml:space="preserve"> 
تمويل ذاتي أو مع شركاء، أم أنك سوف تحصل على قرض؟
قبل البدء بمشروعك ستكون بحاجة إلى سيولة مالية لتغطي النفقات الخاصة بتأسيس المشروع اضافة الى الفترة الأولية للتشغيل، على سبيل المثال إذا كنت تعتقد أن مشروعك لن يولد سيولة نقدية كافية لتغطية المصاريف في الأشهر  الأولى للمشروع فيجب ان يتم احتساب مبلغ اضافي ضمن مبلغ الاستثمار الأولي لتغطية هذه المصاريف و لتفادي نقص السيولة المفاجيء "نقترح أن يتم تغطية مصاريف الأشهر الستة الأولى للمشروع".
</t>
    </r>
    <r>
      <rPr>
        <sz val="11"/>
        <color rgb="FFFF0000"/>
        <rFont val="Calibri"/>
        <family val="2"/>
      </rPr>
      <t xml:space="preserve">هذا و يمكنك مراجعة المبلغ المقترح  للتمويل من خلال الجدول التالي: </t>
    </r>
  </si>
  <si>
    <t xml:space="preserve">احتساب / مقترح لمبلغ التمويل المطلوب للمشروع </t>
  </si>
  <si>
    <t>معدل الفائدة على القرض</t>
  </si>
  <si>
    <t>احتساب القرض</t>
  </si>
  <si>
    <t>البيانات</t>
  </si>
  <si>
    <t>قيمة القرض</t>
  </si>
  <si>
    <t>المدة</t>
  </si>
  <si>
    <t>معدل الفائدة</t>
  </si>
  <si>
    <t>الفائدة</t>
  </si>
  <si>
    <t>الدفعة</t>
  </si>
  <si>
    <t>PAYMENT</t>
  </si>
  <si>
    <t>INTERST</t>
  </si>
  <si>
    <t>Loan balance</t>
  </si>
  <si>
    <t>Balance</t>
  </si>
  <si>
    <t xml:space="preserve">انتهى </t>
  </si>
  <si>
    <t>فوائد بنكية على القرض</t>
  </si>
  <si>
    <t>القوائم المالية</t>
  </si>
  <si>
    <t>المركز المالي</t>
  </si>
  <si>
    <t>تحليل المبيعات و المصاريف</t>
  </si>
  <si>
    <t>المبيعات بعدد الوحدات</t>
  </si>
  <si>
    <t>نقطة التعادل بالقيمة</t>
  </si>
  <si>
    <r>
      <t xml:space="preserve">صافي الأرباح / </t>
    </r>
    <r>
      <rPr>
        <b/>
        <sz val="11"/>
        <color rgb="FFFF0000"/>
        <rFont val="Calibri"/>
        <family val="2"/>
      </rPr>
      <t>(الخسائر)</t>
    </r>
  </si>
  <si>
    <t>البيانات الأساسية</t>
  </si>
  <si>
    <t>بيانات مقدم الدراسة</t>
  </si>
  <si>
    <t>اسم مقدم الدراسة</t>
  </si>
  <si>
    <t>بيانات المشروع</t>
  </si>
  <si>
    <t>تاريخ إعداد الدراسة</t>
  </si>
  <si>
    <t>السنة الأولى لبداية المشروع</t>
  </si>
  <si>
    <r>
      <t xml:space="preserve">تعديل العملة
</t>
    </r>
    <r>
      <rPr>
        <sz val="9"/>
        <color rgb="FFFF0000"/>
        <rFont val="Calibri"/>
        <family val="2"/>
      </rPr>
      <t>(إختياري)</t>
    </r>
  </si>
  <si>
    <r>
      <t>العملة الجديدة</t>
    </r>
    <r>
      <rPr>
        <b/>
        <sz val="9"/>
        <color rgb="FFFF0000"/>
        <rFont val="Calibri"/>
        <family val="2"/>
      </rPr>
      <t xml:space="preserve"> </t>
    </r>
    <r>
      <rPr>
        <sz val="9"/>
        <color theme="1" tint="0.34998626667073579"/>
        <rFont val="Calibri"/>
        <family val="2"/>
      </rPr>
      <t>(خاص بالتقرير والملخص)</t>
    </r>
  </si>
  <si>
    <r>
      <t>سعر الصرف</t>
    </r>
    <r>
      <rPr>
        <b/>
        <sz val="9"/>
        <color rgb="FF000000"/>
        <rFont val="Calibri"/>
        <family val="2"/>
      </rPr>
      <t xml:space="preserve"> </t>
    </r>
    <r>
      <rPr>
        <sz val="9"/>
        <color theme="1" tint="0.34998626667073579"/>
        <rFont val="Calibri"/>
        <family val="2"/>
      </rPr>
      <t>(خاص بالتقرير والملخص)</t>
    </r>
  </si>
  <si>
    <t xml:space="preserve">ملف لعمل دراسة مالية </t>
  </si>
  <si>
    <t>هذا الملف خاص بعمل دراسة مالية للمشاريع الصغيرة</t>
  </si>
  <si>
    <t>المحتوى</t>
  </si>
  <si>
    <t>الملاحظات</t>
  </si>
  <si>
    <t>بيانات الدراسة</t>
  </si>
  <si>
    <t>إدخال التوقعات المالية</t>
  </si>
  <si>
    <t xml:space="preserve">التقرير </t>
  </si>
  <si>
    <t>التقرير الملخص</t>
  </si>
  <si>
    <t>الهدف من الملف</t>
  </si>
  <si>
    <t>إنشاء دراسة مالية بسهولة خلال فترة قياسية</t>
  </si>
  <si>
    <t>التعديل على الدراسة بأي وقت والحصول على النتائج مباشرة</t>
  </si>
  <si>
    <t>التخطيط الإستراتيجي للمشاريع</t>
  </si>
  <si>
    <t>قياس وتحليل النتائج لإتخاذ القرارات الصحيحة</t>
  </si>
  <si>
    <t>امكانية عرض التقرير بأكثر من عملة من خلال تعديل سعر الصرف</t>
  </si>
  <si>
    <t>المستفيد من الملف</t>
  </si>
  <si>
    <t>الراغبون في الحصول على تمويل</t>
  </si>
  <si>
    <t>رواد الأعمال واصحاب المشاريع الصغيرة والمتوسطة</t>
  </si>
  <si>
    <t>المستثمرون</t>
  </si>
  <si>
    <t>موظفو الإدارة المالية والعاملين في مجال الدراسات والتحليل المالي</t>
  </si>
  <si>
    <t>البيان / السنة</t>
  </si>
  <si>
    <t>قم بإدخال مبلغ التمويل ادناه</t>
  </si>
  <si>
    <t/>
  </si>
  <si>
    <t>الرسوم البيانية</t>
  </si>
  <si>
    <t>عدد الوحدات المباعة</t>
  </si>
  <si>
    <t>اسم الصنف \ الخدمة</t>
  </si>
  <si>
    <t>الارباح المجمعة</t>
  </si>
  <si>
    <t>الإهلاك</t>
  </si>
  <si>
    <t>الأصول المتداولة</t>
  </si>
  <si>
    <t>الأصول غير المتداولة</t>
  </si>
  <si>
    <t>راس المال</t>
  </si>
  <si>
    <t>الخصوم حقو قالملكية</t>
  </si>
  <si>
    <t>كيفية استخدام الملف</t>
  </si>
  <si>
    <t>لترتيب افكارك وتجنب التكرار اقرأ بتمعن المطلوب في كل جزئية قبل البدء بإدخال البيانات</t>
  </si>
  <si>
    <t>الخلايا الصفراء "فقط" هي الخلايا المخصصة لإدخال البيانات ( واي تعديل على الخلايا الأخرى قد يؤدي الى حذف المعادلات )</t>
  </si>
  <si>
    <r>
      <rPr>
        <b/>
        <sz val="12"/>
        <color rgb="FFFF0000"/>
        <rFont val="Arial"/>
        <family val="2"/>
      </rPr>
      <t xml:space="preserve">الملاحظات:  </t>
    </r>
    <r>
      <rPr>
        <sz val="12"/>
        <rFont val="Arial"/>
        <family val="2"/>
      </rPr>
      <t xml:space="preserve">لعرض الملاحظات قم بوضع المؤشر فوق الخلية التي تحتوي على مثلث احمر في الأعلى </t>
    </r>
    <r>
      <rPr>
        <sz val="12"/>
        <color rgb="FF333333"/>
        <rFont val="Arial"/>
        <family val="2"/>
      </rPr>
      <t>.</t>
    </r>
  </si>
  <si>
    <t>لا تستخدم القص واللصق</t>
  </si>
  <si>
    <r>
      <t xml:space="preserve">اذا قمت بعمل تنسيقات على سبيل المثال( </t>
    </r>
    <r>
      <rPr>
        <sz val="11"/>
        <color rgb="FFFF0000"/>
        <rFont val="Arial"/>
        <family val="2"/>
      </rPr>
      <t>تعديل الوان</t>
    </r>
    <r>
      <rPr>
        <sz val="11"/>
        <color rgb="FF000000"/>
        <rFont val="Arial"/>
        <family val="2"/>
      </rPr>
      <t xml:space="preserve"> او الكتابة </t>
    </r>
    <r>
      <rPr>
        <b/>
        <sz val="11"/>
        <color rgb="FF000000"/>
        <rFont val="Arial"/>
        <family val="2"/>
      </rPr>
      <t>بخط عريض)</t>
    </r>
    <r>
      <rPr>
        <sz val="11"/>
        <color rgb="FF000000"/>
        <rFont val="Arial"/>
        <family val="2"/>
      </rPr>
      <t xml:space="preserve"> فإنها لن تظهر في التقرير المخصص للطباعة</t>
    </r>
  </si>
  <si>
    <t>لأغراض الطباعة لا بد من اعادة تنسيق الصفحة و اخفاء او اظهار الخلايا أو الأجزاء المراد طباعتها</t>
  </si>
  <si>
    <t xml:space="preserve">يحتوي هذا الملف على بيانات لدراسة بغرض التوضيح. </t>
  </si>
  <si>
    <t>.</t>
  </si>
  <si>
    <t>مثال لدراسة</t>
  </si>
  <si>
    <t>صنف 1</t>
  </si>
  <si>
    <t>صنف 2</t>
  </si>
  <si>
    <t>صنف 3</t>
  </si>
  <si>
    <t>صنف 4</t>
  </si>
  <si>
    <t>صنف 5</t>
  </si>
  <si>
    <t>صنف 6</t>
  </si>
  <si>
    <t>صنف 7</t>
  </si>
  <si>
    <t xml:space="preserve">تسويق </t>
  </si>
  <si>
    <t>مصروفات حكومية</t>
  </si>
  <si>
    <t>اشتراكات وبرامج</t>
  </si>
  <si>
    <t>هاتف و انترنت</t>
  </si>
  <si>
    <t xml:space="preserve">خدمات -  كهرباء، ماء، نظافة. وقود  ..... </t>
  </si>
  <si>
    <t>عمولات و حوافز</t>
  </si>
  <si>
    <t>V.20210120</t>
  </si>
  <si>
    <t>برامج محاسبية</t>
  </si>
  <si>
    <t>كاشير</t>
  </si>
  <si>
    <t>كمبيوتر</t>
  </si>
  <si>
    <t>طاولات و كراسي</t>
  </si>
  <si>
    <t>ديكورات</t>
  </si>
  <si>
    <t>سيارة توصيل</t>
  </si>
  <si>
    <t>سيارة تحميل</t>
  </si>
  <si>
    <t>اثاث مكتبي</t>
  </si>
  <si>
    <t>مستلزمات مختلفة</t>
  </si>
  <si>
    <t>معدات صيانة</t>
  </si>
  <si>
    <t>تطبيقات هواتف نقال</t>
  </si>
  <si>
    <t>تطبيقات ومواقع الكترونية</t>
  </si>
  <si>
    <t>متوسط الإهلاك بالسنوات</t>
  </si>
  <si>
    <t>الزيادة السنوية --&gt;</t>
  </si>
  <si>
    <t>الهدف ( عدد الواحدات المباعة في العام)</t>
  </si>
  <si>
    <t>مصاريف ضيافة</t>
  </si>
  <si>
    <r>
      <rPr>
        <u/>
        <sz val="11"/>
        <color theme="4" tint="-0.249977111117893"/>
        <rFont val="Arial"/>
        <family val="2"/>
        <scheme val="minor"/>
      </rPr>
      <t xml:space="preserve">في هذا القسم مطلوب منك اضافة أربع مدخلات:
الأصناف 
</t>
    </r>
    <r>
      <rPr>
        <sz val="11"/>
        <color theme="4" tint="-0.249977111117893"/>
        <rFont val="Arial"/>
        <family val="2"/>
        <scheme val="minor"/>
      </rPr>
      <t xml:space="preserve">سعر البيع المُتوقع .
تكلفة السلعة المباعة كنسبة من الايردات. 
 الهدف بعدد الوحدات .
</t>
    </r>
    <r>
      <rPr>
        <u/>
        <sz val="11"/>
        <color rgb="FFFF0000"/>
        <rFont val="Arial"/>
        <family val="2"/>
        <scheme val="minor"/>
      </rPr>
      <t>ملاحظة: راجع أسعار منافسيك، اسأل زبائن محتملين، راجع معدل النمو لمشروعك.</t>
    </r>
    <r>
      <rPr>
        <sz val="11"/>
        <color theme="4" tint="-0.249977111117893"/>
        <rFont val="Arial"/>
        <family val="2"/>
        <scheme val="minor"/>
      </rPr>
      <t xml:space="preserve">
تذكر أن عملية التقدير المالي تعد فنا بقدر ما تعد علما، لذلك عليك أن منطقيا وواقعيا في افتراضاتك قدر الإمكان.</t>
    </r>
  </si>
  <si>
    <t>فترة تمويل المصاريف خلال الفترة الأولية للمشروع</t>
  </si>
  <si>
    <t xml:space="preserve">المبلغ المقترح لبداية المشروع يجب ان لا يقل عن </t>
  </si>
  <si>
    <t>النسبة</t>
  </si>
  <si>
    <t>المبلغ</t>
  </si>
  <si>
    <t>شخصي</t>
  </si>
  <si>
    <t>مجموع التمويل</t>
  </si>
  <si>
    <t xml:space="preserve"> </t>
  </si>
  <si>
    <t>اسم الصنف / الخدمة / المجموعة</t>
  </si>
  <si>
    <t>متوسط سعر البيع 
للوحدة الواحدة</t>
  </si>
  <si>
    <t>متوسط التكلفة للواحدة الواحدة</t>
  </si>
  <si>
    <t>نقطة التعادل بالسنوات</t>
  </si>
  <si>
    <t>نقطة التعادل في اليوم</t>
  </si>
  <si>
    <t>نقطة التعادل في الشهر</t>
  </si>
  <si>
    <t>الفرق بين نقطة التعادل و المبيعات</t>
  </si>
  <si>
    <t>تحليل نقطة التعادل (بالقيمة)</t>
  </si>
  <si>
    <t>الإيرادات السنوية</t>
  </si>
  <si>
    <t>نقطة التعادل الى الإيرادات</t>
  </si>
  <si>
    <t>نسبة نقطة التعادل الى الإيرادات</t>
  </si>
  <si>
    <t>المستقبل الواعد</t>
  </si>
  <si>
    <t>https://w-a3d.com/</t>
  </si>
  <si>
    <t>0531513273</t>
  </si>
  <si>
    <t>الريال السعودي</t>
  </si>
  <si>
    <t>الخبر - المملكة العربية السعودية</t>
  </si>
  <si>
    <t>هذه النسخة لشتقديم عرض سعر منصة فرصة ولا يحق لأي شخص استخدامها</t>
  </si>
  <si>
    <t>جميع الحقوق محفوظة لمكتب جدوى المستقبل</t>
  </si>
  <si>
    <r>
      <t xml:space="preserve">للملاحظات نرجو التواصل مع مكتب جدوى المستقبل الموقع </t>
    </r>
    <r>
      <rPr>
        <sz val="11"/>
        <color rgb="FF1F497D"/>
        <rFont val="Arial"/>
        <family val="2"/>
      </rPr>
      <t>https://w-a3d.com/</t>
    </r>
    <r>
      <rPr>
        <sz val="11"/>
        <color rgb="FF000000"/>
        <rFont val="Arial"/>
        <family val="2"/>
      </rPr>
      <t>أو من خلال الجوال 0531513273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</si>
</sst>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0.00_);_(* \(#,##0.00\);_(* &quot;-&quot;??_);_(@_)"/>
    <numFmt numFmtId="165" formatCode="_(* #,##0_);_(* \(#,##0\);_(* &quot;-&quot;??_);_(@_)"/>
    <numFmt numFmtId="166" formatCode="0.0"/>
    <numFmt numFmtId="167" formatCode="0.0%"/>
    <numFmt numFmtId="168" formatCode="0.00000%"/>
    <numFmt numFmtId="169" formatCode="##"/>
    <numFmt numFmtId="170" formatCode="dd/mmm/yyyy"/>
    <numFmt numFmtId="171" formatCode="_(* #,##0.0_);_(* \(#,##0.0\);_(* &quot;-&quot;??_);_(@_)"/>
    <numFmt numFmtId="172" formatCode="#,##0.0_);[Red]\(#,##0.0\)"/>
    <numFmt numFmtId="173" formatCode="#,##0.0"/>
    <numFmt numFmtId="174" formatCode="_-* #,##0.00_-;_-* #,##0.00\-;_-* &quot;-&quot;??_-;_-@_-"/>
  </numFmts>
  <fonts count="130" x14ac:knownFonts="1">
    <font>
      <sz val="11"/>
      <color theme="1"/>
      <name val="Arial"/>
      <family val="2"/>
      <scheme val="minor"/>
    </font>
    <font>
      <sz val="11"/>
      <color theme="1"/>
      <name val="Arial"/>
      <family val="2"/>
      <scheme val="minor"/>
    </font>
    <font>
      <b/>
      <sz val="11"/>
      <color theme="1"/>
      <name val="Arial"/>
      <family val="2"/>
      <scheme val="minor"/>
    </font>
    <font>
      <sz val="12"/>
      <color rgb="FF333333"/>
      <name val="Arial"/>
      <family val="2"/>
    </font>
    <font>
      <sz val="11"/>
      <color theme="4" tint="-0.249977111117893"/>
      <name val="Arial"/>
      <family val="2"/>
      <scheme val="minor"/>
    </font>
    <font>
      <sz val="11"/>
      <color rgb="FF696969"/>
      <name val="Open Sans"/>
      <family val="2"/>
    </font>
    <font>
      <u/>
      <sz val="11"/>
      <color theme="4" tint="-0.249977111117893"/>
      <name val="Arial"/>
      <family val="2"/>
      <scheme val="minor"/>
    </font>
    <font>
      <sz val="11"/>
      <color theme="3" tint="0.39997558519241921"/>
      <name val="Open Sans"/>
      <family val="2"/>
    </font>
    <font>
      <u/>
      <sz val="11"/>
      <color theme="10"/>
      <name val="Arial"/>
      <family val="2"/>
      <scheme val="minor"/>
    </font>
    <font>
      <b/>
      <sz val="11"/>
      <color theme="0"/>
      <name val="Arial"/>
      <family val="2"/>
      <scheme val="minor"/>
    </font>
    <font>
      <sz val="11"/>
      <color theme="0"/>
      <name val="Arial"/>
      <family val="2"/>
      <scheme val="minor"/>
    </font>
    <font>
      <b/>
      <sz val="11"/>
      <name val="Open Sans"/>
      <family val="2"/>
    </font>
    <font>
      <b/>
      <sz val="12"/>
      <color rgb="FFFFFFFF"/>
      <name val="Arial"/>
      <family val="2"/>
    </font>
    <font>
      <sz val="11"/>
      <color rgb="FFFF0000"/>
      <name val="Arial"/>
      <family val="2"/>
      <scheme val="minor"/>
    </font>
    <font>
      <sz val="9"/>
      <color indexed="81"/>
      <name val="Tahoma"/>
      <family val="2"/>
    </font>
    <font>
      <b/>
      <sz val="9"/>
      <color indexed="81"/>
      <name val="Tahoma"/>
      <family val="2"/>
    </font>
    <font>
      <sz val="11"/>
      <color theme="1"/>
      <name val="Arial"/>
      <family val="2"/>
    </font>
    <font>
      <b/>
      <sz val="11"/>
      <color theme="1"/>
      <name val="Arial"/>
      <family val="2"/>
    </font>
    <font>
      <sz val="11"/>
      <color theme="0"/>
      <name val="Arial"/>
      <family val="2"/>
    </font>
    <font>
      <b/>
      <sz val="11"/>
      <color theme="4" tint="-0.249977111117893"/>
      <name val="Arial"/>
      <family val="2"/>
      <scheme val="minor"/>
    </font>
    <font>
      <b/>
      <sz val="12"/>
      <color theme="1"/>
      <name val="Arial"/>
      <family val="2"/>
    </font>
    <font>
      <sz val="11"/>
      <color rgb="FFFF0000"/>
      <name val="Arial"/>
      <family val="2"/>
    </font>
    <font>
      <sz val="10"/>
      <color theme="4" tint="-0.249977111117893"/>
      <name val="Arial"/>
      <family val="2"/>
      <scheme val="minor"/>
    </font>
    <font>
      <sz val="10"/>
      <color theme="3" tint="-0.249977111117893"/>
      <name val="Arial"/>
      <family val="2"/>
      <scheme val="minor"/>
    </font>
    <font>
      <sz val="8"/>
      <color rgb="FFFF0000"/>
      <name val="Open Sans"/>
      <family val="2"/>
    </font>
    <font>
      <sz val="11"/>
      <name val="Arial"/>
      <family val="2"/>
      <scheme val="minor"/>
    </font>
    <font>
      <sz val="10"/>
      <color rgb="FFFF0000"/>
      <name val="Arial"/>
      <family val="2"/>
      <scheme val="minor"/>
    </font>
    <font>
      <b/>
      <sz val="11"/>
      <color rgb="FFFF0000"/>
      <name val="Arial"/>
      <family val="2"/>
      <scheme val="minor"/>
    </font>
    <font>
      <u/>
      <sz val="11"/>
      <color rgb="FFFF0000"/>
      <name val="Arial"/>
      <family val="2"/>
      <scheme val="minor"/>
    </font>
    <font>
      <sz val="11"/>
      <color theme="0" tint="-0.14999847407452621"/>
      <name val="Arial"/>
      <family val="2"/>
      <scheme val="minor"/>
    </font>
    <font>
      <b/>
      <sz val="11"/>
      <color theme="0" tint="-0.14999847407452621"/>
      <name val="Arial"/>
      <family val="2"/>
      <scheme val="minor"/>
    </font>
    <font>
      <sz val="10"/>
      <color rgb="FFFF0000"/>
      <name val="Open Sans"/>
      <family val="2"/>
    </font>
    <font>
      <sz val="9"/>
      <color theme="3" tint="0.39997558519241921"/>
      <name val="Open Sans"/>
      <family val="2"/>
    </font>
    <font>
      <b/>
      <sz val="14"/>
      <color theme="1"/>
      <name val="Arial"/>
      <family val="2"/>
    </font>
    <font>
      <sz val="24"/>
      <color theme="1"/>
      <name val="Arial"/>
      <family val="2"/>
    </font>
    <font>
      <sz val="48"/>
      <color theme="1"/>
      <name val="Arial"/>
      <family val="2"/>
    </font>
    <font>
      <sz val="48"/>
      <color theme="0"/>
      <name val="Arial"/>
      <family val="2"/>
    </font>
    <font>
      <sz val="10"/>
      <color theme="1"/>
      <name val="Arial"/>
      <family val="2"/>
    </font>
    <font>
      <b/>
      <i/>
      <u/>
      <sz val="11"/>
      <color rgb="FFFF0000"/>
      <name val="Arial"/>
      <family val="2"/>
      <scheme val="minor"/>
    </font>
    <font>
      <sz val="11"/>
      <color theme="0" tint="-0.14999847407452621"/>
      <name val="Arial"/>
      <family val="2"/>
    </font>
    <font>
      <sz val="8"/>
      <color theme="0" tint="-0.14999847407452621"/>
      <name val="Arial"/>
      <family val="2"/>
    </font>
    <font>
      <sz val="12"/>
      <color theme="1"/>
      <name val="Arial"/>
      <family val="2"/>
    </font>
    <font>
      <sz val="10"/>
      <color theme="0" tint="-0.14999847407452621"/>
      <name val="Arial"/>
      <family val="2"/>
    </font>
    <font>
      <sz val="8"/>
      <name val="Arial"/>
      <family val="2"/>
      <scheme val="minor"/>
    </font>
    <font>
      <sz val="9"/>
      <color theme="0" tint="-0.34998626667073579"/>
      <name val="Arial"/>
      <family val="2"/>
    </font>
    <font>
      <b/>
      <sz val="11"/>
      <color theme="0" tint="-0.14999847407452621"/>
      <name val="Arial"/>
      <family val="2"/>
    </font>
    <font>
      <sz val="48"/>
      <color theme="0" tint="-0.14999847407452621"/>
      <name val="Arial"/>
      <family val="2"/>
    </font>
    <font>
      <b/>
      <sz val="14"/>
      <color theme="0"/>
      <name val="Arial"/>
      <family val="2"/>
    </font>
    <font>
      <sz val="11"/>
      <color theme="4"/>
      <name val="Arial"/>
      <family val="2"/>
      <scheme val="minor"/>
    </font>
    <font>
      <sz val="9"/>
      <color theme="4"/>
      <name val="Arial"/>
      <family val="2"/>
      <scheme val="minor"/>
    </font>
    <font>
      <b/>
      <sz val="28"/>
      <color theme="0"/>
      <name val="Arial"/>
      <family val="2"/>
      <scheme val="minor"/>
    </font>
    <font>
      <b/>
      <sz val="24"/>
      <color theme="0"/>
      <name val="Arial"/>
      <family val="2"/>
      <scheme val="minor"/>
    </font>
    <font>
      <sz val="11"/>
      <color theme="0" tint="-0.249977111117893"/>
      <name val="Arial"/>
      <family val="2"/>
    </font>
    <font>
      <sz val="11"/>
      <color rgb="FFFF0000"/>
      <name val="Calibri"/>
      <family val="2"/>
    </font>
    <font>
      <b/>
      <sz val="11"/>
      <color rgb="FFFFFFFF"/>
      <name val="Calibri"/>
      <family val="2"/>
    </font>
    <font>
      <b/>
      <sz val="9"/>
      <color rgb="FFFFFFFF"/>
      <name val="Calibri"/>
      <family val="2"/>
    </font>
    <font>
      <b/>
      <sz val="11"/>
      <color rgb="FF000000"/>
      <name val="Calibri"/>
      <family val="2"/>
    </font>
    <font>
      <b/>
      <sz val="11"/>
      <color rgb="FFFF0000"/>
      <name val="Calibri"/>
      <family val="2"/>
    </font>
    <font>
      <sz val="9"/>
      <color theme="0" tint="-0.499984740745262"/>
      <name val="Calibri"/>
      <family val="2"/>
    </font>
    <font>
      <b/>
      <i/>
      <u/>
      <sz val="11"/>
      <color rgb="FFFFFFFF"/>
      <name val="Calibri"/>
      <family val="2"/>
    </font>
    <font>
      <b/>
      <sz val="14"/>
      <color rgb="FFFFFFFF"/>
      <name val="Calibri"/>
      <family val="2"/>
    </font>
    <font>
      <sz val="14"/>
      <color rgb="FFFFFFFF"/>
      <name val="Calibri"/>
      <family val="2"/>
    </font>
    <font>
      <b/>
      <sz val="12"/>
      <color rgb="FFFFFFFF"/>
      <name val="Calibri"/>
      <family val="2"/>
    </font>
    <font>
      <sz val="12"/>
      <name val="Calibri"/>
      <family val="2"/>
    </font>
    <font>
      <sz val="14"/>
      <color theme="1"/>
      <name val="Open Sans"/>
      <family val="2"/>
    </font>
    <font>
      <b/>
      <sz val="12"/>
      <color theme="1"/>
      <name val="Open Sans"/>
      <family val="2"/>
    </font>
    <font>
      <b/>
      <sz val="14"/>
      <color rgb="FF000000"/>
      <name val="Calibri"/>
      <family val="2"/>
    </font>
    <font>
      <sz val="14"/>
      <color rgb="FF000000"/>
      <name val="Calibri"/>
      <family val="2"/>
    </font>
    <font>
      <sz val="11"/>
      <color rgb="FF366092"/>
      <name val="Calibri"/>
      <family val="2"/>
    </font>
    <font>
      <u/>
      <sz val="11"/>
      <color rgb="FF366092"/>
      <name val="Calibri"/>
      <family val="2"/>
    </font>
    <font>
      <b/>
      <u/>
      <sz val="11"/>
      <color rgb="FF366092"/>
      <name val="Calibri"/>
      <family val="2"/>
    </font>
    <font>
      <u/>
      <sz val="11"/>
      <color rgb="FFFF0000"/>
      <name val="Calibri"/>
      <family val="2"/>
    </font>
    <font>
      <sz val="11"/>
      <color rgb="FF000000"/>
      <name val="Calibri"/>
      <family val="2"/>
    </font>
    <font>
      <b/>
      <i/>
      <u/>
      <sz val="12"/>
      <color rgb="FFFFFFFF"/>
      <name val="Calibri"/>
      <family val="2"/>
    </font>
    <font>
      <b/>
      <sz val="12"/>
      <name val="Open Sans"/>
      <family val="2"/>
    </font>
    <font>
      <b/>
      <sz val="14"/>
      <name val="Open Sans"/>
      <family val="2"/>
    </font>
    <font>
      <sz val="14"/>
      <name val="Open Sans"/>
      <family val="2"/>
    </font>
    <font>
      <b/>
      <sz val="14"/>
      <name val="Calibri"/>
      <family val="2"/>
    </font>
    <font>
      <sz val="14"/>
      <name val="Calibri"/>
      <family val="2"/>
    </font>
    <font>
      <b/>
      <sz val="11"/>
      <color rgb="FF366092"/>
      <name val="Calibri"/>
      <family val="2"/>
    </font>
    <font>
      <sz val="11"/>
      <name val="Calibri"/>
      <family val="2"/>
    </font>
    <font>
      <b/>
      <i/>
      <u/>
      <sz val="11"/>
      <color rgb="FFFF0000"/>
      <name val="Calibri"/>
      <family val="2"/>
    </font>
    <font>
      <b/>
      <sz val="16"/>
      <color rgb="FFFFFFFF"/>
      <name val="Arial"/>
      <family val="2"/>
    </font>
    <font>
      <sz val="11"/>
      <color rgb="FFFFFFFF"/>
      <name val="Calibri"/>
      <family val="2"/>
    </font>
    <font>
      <sz val="12"/>
      <name val="Arial"/>
      <family val="2"/>
    </font>
    <font>
      <b/>
      <sz val="12"/>
      <color theme="0"/>
      <name val="Arial"/>
      <family val="2"/>
    </font>
    <font>
      <b/>
      <sz val="12"/>
      <name val="Arial"/>
      <family val="2"/>
    </font>
    <font>
      <b/>
      <i/>
      <sz val="12"/>
      <color theme="1" tint="4.9989318521683403E-2"/>
      <name val="Arial"/>
      <family val="2"/>
    </font>
    <font>
      <sz val="12"/>
      <color theme="0"/>
      <name val="Arial"/>
      <family val="2"/>
    </font>
    <font>
      <b/>
      <sz val="12"/>
      <color theme="3" tint="-0.249977111117893"/>
      <name val="Arial"/>
      <family val="2"/>
    </font>
    <font>
      <b/>
      <u/>
      <sz val="12"/>
      <color theme="3" tint="-0.499984740745262"/>
      <name val="Arial"/>
      <family val="2"/>
    </font>
    <font>
      <b/>
      <u/>
      <sz val="12"/>
      <color theme="8" tint="-0.249977111117893"/>
      <name val="Arial"/>
      <family val="2"/>
    </font>
    <font>
      <b/>
      <u/>
      <sz val="12"/>
      <color theme="9" tint="-0.249977111117893"/>
      <name val="Arial"/>
      <family val="2"/>
    </font>
    <font>
      <sz val="12"/>
      <color theme="4" tint="-0.249977111117893"/>
      <name val="Arial"/>
      <family val="2"/>
    </font>
    <font>
      <sz val="12"/>
      <color theme="9" tint="-0.249977111117893"/>
      <name val="Arial"/>
      <family val="2"/>
    </font>
    <font>
      <sz val="12"/>
      <color theme="8" tint="-0.249977111117893"/>
      <name val="Arial"/>
      <family val="2"/>
    </font>
    <font>
      <sz val="12"/>
      <color theme="3" tint="0.39997558519241921"/>
      <name val="Arial"/>
      <family val="2"/>
    </font>
    <font>
      <b/>
      <u/>
      <sz val="12"/>
      <name val="Arial"/>
      <family val="2"/>
    </font>
    <font>
      <sz val="12"/>
      <color theme="3"/>
      <name val="Arial"/>
      <family val="2"/>
    </font>
    <font>
      <sz val="12"/>
      <color theme="8" tint="-0.499984740745262"/>
      <name val="Arial"/>
      <family val="2"/>
    </font>
    <font>
      <b/>
      <sz val="12"/>
      <color theme="8" tint="-0.499984740745262"/>
      <name val="Arial"/>
      <family val="2"/>
    </font>
    <font>
      <sz val="12"/>
      <color rgb="FFFF0000"/>
      <name val="Arial"/>
      <family val="2"/>
    </font>
    <font>
      <b/>
      <i/>
      <u val="singleAccounting"/>
      <sz val="12"/>
      <name val="Arial"/>
      <family val="2"/>
    </font>
    <font>
      <b/>
      <i/>
      <u val="singleAccounting"/>
      <sz val="12"/>
      <color theme="1"/>
      <name val="Arial"/>
      <family val="2"/>
    </font>
    <font>
      <sz val="12"/>
      <color theme="3" tint="-0.499984740745262"/>
      <name val="Arial"/>
      <family val="2"/>
    </font>
    <font>
      <b/>
      <sz val="12"/>
      <color rgb="FFFF0000"/>
      <name val="Arial"/>
      <family val="2"/>
    </font>
    <font>
      <sz val="16"/>
      <color rgb="FFFFFFFF"/>
      <name val="Arial"/>
      <family val="2"/>
    </font>
    <font>
      <b/>
      <sz val="16"/>
      <color rgb="FFFFFFFF"/>
      <name val="Calibri"/>
      <family val="2"/>
    </font>
    <font>
      <sz val="9"/>
      <color rgb="FFFF0000"/>
      <name val="Calibri"/>
      <family val="2"/>
    </font>
    <font>
      <b/>
      <sz val="9"/>
      <color rgb="FFFF0000"/>
      <name val="Calibri"/>
      <family val="2"/>
    </font>
    <font>
      <sz val="9"/>
      <color theme="1" tint="0.34998626667073579"/>
      <name val="Calibri"/>
      <family val="2"/>
    </font>
    <font>
      <b/>
      <sz val="9"/>
      <color rgb="FF000000"/>
      <name val="Calibri"/>
      <family val="2"/>
    </font>
    <font>
      <sz val="11"/>
      <color rgb="FF000000"/>
      <name val="Arial"/>
      <family val="2"/>
    </font>
    <font>
      <b/>
      <sz val="18"/>
      <color rgb="FF000000"/>
      <name val="Arial"/>
      <family val="2"/>
    </font>
    <font>
      <b/>
      <sz val="24"/>
      <color rgb="FF000000"/>
      <name val="Arial"/>
      <family val="2"/>
    </font>
    <font>
      <u/>
      <sz val="28"/>
      <color rgb="FF000000"/>
      <name val="Impact"/>
      <family val="2"/>
    </font>
    <font>
      <u/>
      <sz val="11"/>
      <name val="Arial"/>
      <family val="2"/>
    </font>
    <font>
      <sz val="11"/>
      <name val="Arial"/>
      <family val="2"/>
    </font>
    <font>
      <b/>
      <u/>
      <sz val="14"/>
      <name val="Arial Black"/>
      <family val="2"/>
    </font>
    <font>
      <u/>
      <sz val="11"/>
      <color rgb="FF0070C0"/>
      <name val="Arial"/>
      <family val="2"/>
    </font>
    <font>
      <b/>
      <sz val="11"/>
      <name val="Arial"/>
      <family val="2"/>
    </font>
    <font>
      <sz val="11"/>
      <color rgb="FFFFFFFF"/>
      <name val="Arial"/>
      <family val="2"/>
    </font>
    <font>
      <b/>
      <sz val="14"/>
      <color rgb="FFFFFFFF"/>
      <name val="Open Sans"/>
      <family val="2"/>
    </font>
    <font>
      <sz val="11"/>
      <color theme="1"/>
      <name val="Arial"/>
      <family val="2"/>
      <charset val="178"/>
      <scheme val="minor"/>
    </font>
    <font>
      <sz val="11"/>
      <color theme="0"/>
      <name val="Calibri"/>
      <family val="2"/>
    </font>
    <font>
      <b/>
      <sz val="24"/>
      <color rgb="FFFFFFFF"/>
      <name val="Arial Black"/>
      <family val="2"/>
    </font>
    <font>
      <sz val="11"/>
      <color rgb="FF366092"/>
      <name val="Arial"/>
      <family val="2"/>
    </font>
    <font>
      <b/>
      <sz val="11"/>
      <color rgb="FF000000"/>
      <name val="Arial"/>
      <family val="2"/>
    </font>
    <font>
      <sz val="11"/>
      <color rgb="FF1F497D"/>
      <name val="Arial"/>
      <family val="2"/>
    </font>
    <font>
      <sz val="10"/>
      <color rgb="FF366092"/>
      <name val="Calibri"/>
      <family val="2"/>
    </font>
  </fonts>
  <fills count="34">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rgb="FFEAF0F6"/>
        <bgColor indexed="64"/>
      </patternFill>
    </fill>
    <fill>
      <patternFill patternType="solid">
        <fgColor rgb="FFFFFFE5"/>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theme="0" tint="-0.14999847407452621"/>
        <bgColor indexed="64"/>
      </patternFill>
    </fill>
    <fill>
      <patternFill patternType="solid">
        <fgColor theme="3"/>
        <bgColor indexed="64"/>
      </patternFill>
    </fill>
    <fill>
      <patternFill patternType="solid">
        <fgColor rgb="FFFCEFBA"/>
        <bgColor indexed="64"/>
      </patternFill>
    </fill>
    <fill>
      <patternFill patternType="solid">
        <fgColor rgb="FF3F3F3F"/>
        <bgColor rgb="FF3F3F3F"/>
      </patternFill>
    </fill>
    <fill>
      <patternFill patternType="solid">
        <fgColor rgb="FFFFFFFF"/>
        <bgColor rgb="FFFFFFFF"/>
      </patternFill>
    </fill>
    <fill>
      <patternFill patternType="solid">
        <fgColor rgb="FFFF0000"/>
        <bgColor rgb="FFFF0000"/>
      </patternFill>
    </fill>
    <fill>
      <patternFill patternType="solid">
        <fgColor rgb="FF7F7F7F"/>
        <bgColor rgb="FF7F7F7F"/>
      </patternFill>
    </fill>
    <fill>
      <patternFill patternType="solid">
        <fgColor rgb="FFA5A5A5"/>
        <bgColor rgb="FFA5A5A5"/>
      </patternFill>
    </fill>
    <fill>
      <patternFill patternType="solid">
        <fgColor rgb="FFD8D8D8"/>
        <bgColor rgb="FFD8D8D8"/>
      </patternFill>
    </fill>
    <fill>
      <patternFill patternType="solid">
        <fgColor theme="1" tint="0.499984740745262"/>
        <bgColor indexed="64"/>
      </patternFill>
    </fill>
    <fill>
      <patternFill patternType="solid">
        <fgColor rgb="FFFFFFCC"/>
        <bgColor rgb="FFFFFFCC"/>
      </patternFill>
    </fill>
    <fill>
      <patternFill patternType="solid">
        <fgColor rgb="FFFFFFE5"/>
        <bgColor rgb="FFFFFFE5"/>
      </patternFill>
    </fill>
    <fill>
      <patternFill patternType="solid">
        <fgColor rgb="FFF2F2F2"/>
        <bgColor rgb="FFF2F2F2"/>
      </patternFill>
    </fill>
    <fill>
      <patternFill patternType="solid">
        <fgColor rgb="FFDAEEF3"/>
        <bgColor rgb="FFDAEEF3"/>
      </patternFill>
    </fill>
    <fill>
      <patternFill patternType="solid">
        <fgColor rgb="FFBFBFBF"/>
        <bgColor rgb="FFBFBFBF"/>
      </patternFill>
    </fill>
    <fill>
      <patternFill patternType="solid">
        <fgColor rgb="FF595959"/>
        <bgColor rgb="FF595959"/>
      </patternFill>
    </fill>
    <fill>
      <patternFill patternType="solid">
        <fgColor theme="3" tint="0.39997558519241921"/>
        <bgColor rgb="FF1F497D"/>
      </patternFill>
    </fill>
    <fill>
      <patternFill patternType="solid">
        <fgColor theme="0"/>
        <bgColor rgb="FFF2F2F2"/>
      </patternFill>
    </fill>
    <fill>
      <patternFill patternType="solid">
        <fgColor theme="0"/>
        <bgColor rgb="FFFFFFCC"/>
      </patternFill>
    </fill>
    <fill>
      <patternFill patternType="solid">
        <fgColor theme="0" tint="-4.9989318521683403E-2"/>
        <bgColor rgb="FFFFFFFF"/>
      </patternFill>
    </fill>
    <fill>
      <patternFill patternType="solid">
        <fgColor theme="0" tint="-4.9989318521683403E-2"/>
        <bgColor rgb="FFD8D8D8"/>
      </patternFill>
    </fill>
  </fills>
  <borders count="7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double">
        <color indexed="64"/>
      </bottom>
      <diagonal/>
    </border>
    <border>
      <left style="medium">
        <color rgb="FFE3E3E3"/>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top style="medium">
        <color indexed="64"/>
      </top>
      <bottom/>
      <diagonal/>
    </border>
    <border>
      <left style="medium">
        <color rgb="FFE3E3E3"/>
      </left>
      <right/>
      <top style="thin">
        <color indexed="64"/>
      </top>
      <bottom style="thin">
        <color indexed="64"/>
      </bottom>
      <diagonal/>
    </border>
    <border>
      <left/>
      <right/>
      <top style="double">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theme="3" tint="0.79995117038483843"/>
      </left>
      <right/>
      <top style="thin">
        <color theme="3" tint="0.79995117038483843"/>
      </top>
      <bottom/>
      <diagonal/>
    </border>
    <border>
      <left/>
      <right/>
      <top style="thin">
        <color theme="3" tint="0.79995117038483843"/>
      </top>
      <bottom/>
      <diagonal/>
    </border>
    <border>
      <left style="thin">
        <color theme="3" tint="0.79995117038483843"/>
      </left>
      <right/>
      <top/>
      <bottom/>
      <diagonal/>
    </border>
    <border>
      <left/>
      <right style="thin">
        <color theme="3" tint="0.79995117038483843"/>
      </right>
      <top/>
      <bottom/>
      <diagonal/>
    </border>
    <border>
      <left style="thick">
        <color rgb="FFBFBFBF"/>
      </left>
      <right style="thick">
        <color rgb="FFBFBFBF"/>
      </right>
      <top style="thick">
        <color rgb="FFBFBFBF"/>
      </top>
      <bottom style="thick">
        <color rgb="FFBFBFBF"/>
      </bottom>
      <diagonal/>
    </border>
    <border>
      <left style="thick">
        <color rgb="FFBFBFBF"/>
      </left>
      <right style="thick">
        <color rgb="FFBFBFBF"/>
      </right>
      <top style="thick">
        <color rgb="FFBFBFBF"/>
      </top>
      <bottom/>
      <diagonal/>
    </border>
    <border>
      <left style="thick">
        <color rgb="FFBFBFBF"/>
      </left>
      <right style="thick">
        <color rgb="FFBFBFBF"/>
      </right>
      <top/>
      <bottom style="thick">
        <color rgb="FFBFBFBF"/>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right style="thin">
        <color rgb="FF505050"/>
      </right>
      <top/>
      <bottom/>
      <diagonal/>
    </border>
    <border>
      <left/>
      <right/>
      <top style="thin">
        <color rgb="FF505050"/>
      </top>
      <bottom style="medium">
        <color rgb="FF505050"/>
      </bottom>
      <diagonal/>
    </border>
    <border>
      <left style="thin">
        <color theme="3" tint="0.79992065187536243"/>
      </left>
      <right style="thin">
        <color theme="3" tint="0.79992065187536243"/>
      </right>
      <top style="thin">
        <color theme="3" tint="0.79992065187536243"/>
      </top>
      <bottom style="thin">
        <color theme="3" tint="0.79992065187536243"/>
      </bottom>
      <diagonal/>
    </border>
    <border>
      <left style="thin">
        <color theme="3" tint="0.79992065187536243"/>
      </left>
      <right/>
      <top style="thin">
        <color theme="3" tint="0.79992065187536243"/>
      </top>
      <bottom style="thin">
        <color theme="3" tint="0.79992065187536243"/>
      </bottom>
      <diagonal/>
    </border>
    <border>
      <left/>
      <right/>
      <top style="thin">
        <color theme="3" tint="0.79992065187536243"/>
      </top>
      <bottom style="thin">
        <color theme="3" tint="0.79992065187536243"/>
      </bottom>
      <diagonal/>
    </border>
    <border>
      <left/>
      <right style="thin">
        <color theme="3" tint="0.79992065187536243"/>
      </right>
      <top style="thin">
        <color theme="3" tint="0.79992065187536243"/>
      </top>
      <bottom style="thin">
        <color theme="3" tint="0.79992065187536243"/>
      </bottom>
      <diagonal/>
    </border>
    <border>
      <left/>
      <right style="thin">
        <color rgb="FF000000"/>
      </right>
      <top style="thin">
        <color indexed="64"/>
      </top>
      <bottom style="thin">
        <color rgb="FF000000"/>
      </bottom>
      <diagonal/>
    </border>
    <border>
      <left style="thin">
        <color rgb="FF000000"/>
      </left>
      <right style="thin">
        <color indexed="64"/>
      </right>
      <top style="thin">
        <color rgb="FF000000"/>
      </top>
      <bottom/>
      <diagonal/>
    </border>
    <border>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right/>
      <top/>
      <bottom style="thin">
        <color theme="4" tint="0.59996337778862885"/>
      </bottom>
      <diagonal/>
    </border>
    <border>
      <left style="thick">
        <color rgb="FFBFBFBF"/>
      </left>
      <right/>
      <top style="thick">
        <color rgb="FFBFBFBF"/>
      </top>
      <bottom/>
      <diagonal/>
    </border>
    <border>
      <left/>
      <right/>
      <top style="thick">
        <color rgb="FFBFBFBF"/>
      </top>
      <bottom/>
      <diagonal/>
    </border>
    <border>
      <left/>
      <right style="thick">
        <color rgb="FFBFBFBF"/>
      </right>
      <top style="thick">
        <color rgb="FFBFBFBF"/>
      </top>
      <bottom/>
      <diagonal/>
    </border>
    <border>
      <left style="thick">
        <color rgb="FFBFBFBF"/>
      </left>
      <right/>
      <top/>
      <bottom style="double">
        <color rgb="FFA5A5A5"/>
      </bottom>
      <diagonal/>
    </border>
    <border>
      <left/>
      <right/>
      <top/>
      <bottom style="double">
        <color rgb="FFA5A5A5"/>
      </bottom>
      <diagonal/>
    </border>
    <border>
      <left/>
      <right style="thick">
        <color rgb="FFBFBFBF"/>
      </right>
      <top/>
      <bottom style="double">
        <color rgb="FFA5A5A5"/>
      </bottom>
      <diagonal/>
    </border>
    <border>
      <left style="thick">
        <color rgb="FFBFBFBF"/>
      </left>
      <right/>
      <top/>
      <bottom/>
      <diagonal/>
    </border>
    <border>
      <left/>
      <right style="thick">
        <color rgb="FFBFBFBF"/>
      </right>
      <top/>
      <bottom/>
      <diagonal/>
    </border>
    <border>
      <left style="thick">
        <color rgb="FFBFBFBF"/>
      </left>
      <right/>
      <top/>
      <bottom style="thick">
        <color rgb="FFBFBFBF"/>
      </bottom>
      <diagonal/>
    </border>
    <border>
      <left/>
      <right/>
      <top/>
      <bottom style="thick">
        <color rgb="FFBFBFBF"/>
      </bottom>
      <diagonal/>
    </border>
    <border>
      <left/>
      <right style="thick">
        <color rgb="FFBFBFBF"/>
      </right>
      <top/>
      <bottom style="thick">
        <color rgb="FFBFBFBF"/>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right/>
      <top/>
      <bottom style="thin">
        <color rgb="FF000000"/>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7">
    <xf numFmtId="0" fontId="0" fillId="0" borderId="0"/>
    <xf numFmtId="16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xf numFmtId="0" fontId="72" fillId="0" borderId="0"/>
    <xf numFmtId="0" fontId="123" fillId="0" borderId="0"/>
    <xf numFmtId="174" fontId="123" fillId="0" borderId="0" applyFont="0" applyFill="0" applyBorder="0" applyAlignment="0" applyProtection="0"/>
  </cellStyleXfs>
  <cellXfs count="585">
    <xf numFmtId="0" fontId="0" fillId="0" borderId="0" xfId="0"/>
    <xf numFmtId="0" fontId="0" fillId="0" borderId="0" xfId="0" applyAlignment="1">
      <alignment vertical="top"/>
    </xf>
    <xf numFmtId="0" fontId="2" fillId="0" borderId="0" xfId="0" applyFont="1" applyAlignment="1">
      <alignment vertical="top"/>
    </xf>
    <xf numFmtId="0" fontId="4" fillId="0" borderId="0" xfId="0" applyFont="1" applyAlignment="1">
      <alignment vertical="top" wrapText="1"/>
    </xf>
    <xf numFmtId="165" fontId="2" fillId="0" borderId="6" xfId="0" applyNumberFormat="1" applyFont="1" applyBorder="1" applyAlignment="1">
      <alignment vertical="top"/>
    </xf>
    <xf numFmtId="0" fontId="0" fillId="0" borderId="6" xfId="0" applyBorder="1" applyAlignment="1">
      <alignment vertical="top"/>
    </xf>
    <xf numFmtId="0" fontId="2" fillId="0" borderId="1" xfId="0" applyFont="1" applyBorder="1" applyAlignment="1">
      <alignment vertical="top"/>
    </xf>
    <xf numFmtId="0" fontId="2" fillId="0" borderId="2" xfId="0" applyFont="1" applyBorder="1" applyAlignment="1">
      <alignment vertical="top"/>
    </xf>
    <xf numFmtId="165" fontId="2" fillId="0" borderId="2" xfId="0" applyNumberFormat="1" applyFont="1" applyBorder="1" applyAlignment="1">
      <alignment vertical="top"/>
    </xf>
    <xf numFmtId="165" fontId="2" fillId="0" borderId="2" xfId="1" applyNumberFormat="1" applyFont="1" applyBorder="1" applyAlignment="1">
      <alignment vertical="top"/>
    </xf>
    <xf numFmtId="0" fontId="5" fillId="0" borderId="5" xfId="0" applyFont="1" applyBorder="1" applyAlignment="1">
      <alignment horizontal="right" readingOrder="2"/>
    </xf>
    <xf numFmtId="165" fontId="0" fillId="0" borderId="0" xfId="0" applyNumberFormat="1"/>
    <xf numFmtId="0" fontId="2" fillId="0" borderId="4" xfId="0" applyFont="1" applyBorder="1" applyAlignment="1">
      <alignment vertical="top"/>
    </xf>
    <xf numFmtId="165" fontId="0" fillId="0" borderId="0" xfId="1" applyNumberFormat="1" applyFont="1" applyAlignment="1">
      <alignment vertical="top"/>
    </xf>
    <xf numFmtId="164" fontId="2" fillId="0" borderId="0" xfId="1" applyFont="1" applyAlignment="1">
      <alignment vertical="top"/>
    </xf>
    <xf numFmtId="9" fontId="0" fillId="0" borderId="0" xfId="2" applyFont="1" applyAlignment="1">
      <alignment vertical="top"/>
    </xf>
    <xf numFmtId="164" fontId="0" fillId="0" borderId="0" xfId="1" applyFont="1" applyAlignment="1">
      <alignment vertical="top"/>
    </xf>
    <xf numFmtId="164" fontId="0" fillId="0" borderId="0" xfId="0" applyNumberFormat="1" applyAlignment="1">
      <alignment vertical="top"/>
    </xf>
    <xf numFmtId="164" fontId="2" fillId="0" borderId="0" xfId="0" applyNumberFormat="1" applyFont="1" applyAlignment="1">
      <alignment vertical="top"/>
    </xf>
    <xf numFmtId="0" fontId="10" fillId="0" borderId="0" xfId="0" applyFont="1" applyAlignment="1">
      <alignment vertical="top"/>
    </xf>
    <xf numFmtId="165" fontId="2" fillId="0" borderId="0" xfId="1" applyNumberFormat="1" applyFont="1"/>
    <xf numFmtId="0" fontId="0" fillId="0" borderId="0" xfId="0" applyAlignment="1">
      <alignment vertical="center"/>
    </xf>
    <xf numFmtId="165" fontId="2" fillId="0" borderId="4" xfId="0" applyNumberFormat="1" applyFont="1" applyBorder="1"/>
    <xf numFmtId="0" fontId="7" fillId="0" borderId="17" xfId="0" applyFont="1" applyBorder="1" applyAlignment="1">
      <alignment horizontal="right" vertical="center" wrapText="1" indent="1" readingOrder="2"/>
    </xf>
    <xf numFmtId="9" fontId="1" fillId="0" borderId="6" xfId="2" applyFont="1" applyBorder="1" applyAlignment="1">
      <alignment vertical="top"/>
    </xf>
    <xf numFmtId="0" fontId="0" fillId="0" borderId="2" xfId="0" applyBorder="1" applyAlignment="1">
      <alignment vertical="top"/>
    </xf>
    <xf numFmtId="0" fontId="0" fillId="0" borderId="4" xfId="0" applyBorder="1" applyAlignment="1">
      <alignment vertical="top"/>
    </xf>
    <xf numFmtId="165" fontId="2" fillId="0" borderId="4" xfId="0" applyNumberFormat="1" applyFont="1" applyBorder="1" applyAlignment="1">
      <alignment vertical="top"/>
    </xf>
    <xf numFmtId="165" fontId="2" fillId="0" borderId="12" xfId="1" applyNumberFormat="1" applyFont="1" applyBorder="1" applyAlignment="1">
      <alignment horizontal="right"/>
    </xf>
    <xf numFmtId="165" fontId="10" fillId="0" borderId="0" xfId="1" applyNumberFormat="1" applyFont="1" applyAlignment="1">
      <alignment vertical="top"/>
    </xf>
    <xf numFmtId="0" fontId="2" fillId="0" borderId="4" xfId="0" applyFont="1" applyBorder="1"/>
    <xf numFmtId="0" fontId="2" fillId="0" borderId="0" xfId="0" applyFont="1"/>
    <xf numFmtId="0" fontId="2" fillId="0" borderId="4" xfId="0" applyFont="1" applyBorder="1" applyAlignment="1">
      <alignment horizontal="center" vertical="top"/>
    </xf>
    <xf numFmtId="0" fontId="19" fillId="0" borderId="0" xfId="0" applyFont="1" applyAlignment="1">
      <alignment vertical="top" wrapText="1"/>
    </xf>
    <xf numFmtId="165" fontId="0" fillId="0" borderId="0" xfId="1" applyNumberFormat="1" applyFont="1" applyBorder="1" applyAlignment="1">
      <alignment vertical="top"/>
    </xf>
    <xf numFmtId="9" fontId="0" fillId="0" borderId="0" xfId="0" applyNumberFormat="1"/>
    <xf numFmtId="164" fontId="0" fillId="0" borderId="0" xfId="1" applyFont="1"/>
    <xf numFmtId="164" fontId="0" fillId="0" borderId="6" xfId="1" applyFont="1" applyBorder="1" applyAlignment="1">
      <alignment vertical="center"/>
    </xf>
    <xf numFmtId="164" fontId="0" fillId="0" borderId="6" xfId="0" applyNumberFormat="1" applyBorder="1" applyAlignment="1">
      <alignment vertical="center"/>
    </xf>
    <xf numFmtId="168" fontId="0" fillId="0" borderId="6" xfId="0" applyNumberFormat="1" applyBorder="1" applyAlignment="1">
      <alignment vertical="center"/>
    </xf>
    <xf numFmtId="0" fontId="13" fillId="0" borderId="0" xfId="0" applyFont="1" applyAlignment="1">
      <alignment vertical="top"/>
    </xf>
    <xf numFmtId="165" fontId="2" fillId="10" borderId="0" xfId="1" applyNumberFormat="1" applyFont="1" applyFill="1" applyBorder="1"/>
    <xf numFmtId="0" fontId="29" fillId="0" borderId="0" xfId="0" applyFont="1" applyAlignment="1">
      <alignment vertical="top"/>
    </xf>
    <xf numFmtId="9" fontId="29" fillId="0" borderId="0" xfId="2" applyFont="1" applyAlignment="1">
      <alignment vertical="top"/>
    </xf>
    <xf numFmtId="164" fontId="29" fillId="0" borderId="0" xfId="1" applyFont="1" applyAlignment="1">
      <alignment vertical="top"/>
    </xf>
    <xf numFmtId="164" fontId="29" fillId="0" borderId="0" xfId="0" applyNumberFormat="1" applyFont="1" applyAlignment="1">
      <alignment vertical="top"/>
    </xf>
    <xf numFmtId="165" fontId="29" fillId="0" borderId="0" xfId="1" applyNumberFormat="1" applyFont="1" applyAlignment="1">
      <alignment vertical="top"/>
    </xf>
    <xf numFmtId="164" fontId="30" fillId="0" borderId="0" xfId="1" applyFont="1" applyAlignment="1">
      <alignment vertical="top"/>
    </xf>
    <xf numFmtId="165" fontId="2" fillId="7" borderId="0" xfId="1" applyNumberFormat="1" applyFont="1" applyFill="1" applyBorder="1"/>
    <xf numFmtId="9" fontId="30" fillId="0" borderId="0" xfId="0" applyNumberFormat="1" applyFont="1" applyAlignment="1">
      <alignment vertical="top"/>
    </xf>
    <xf numFmtId="164" fontId="30" fillId="0" borderId="0" xfId="0" applyNumberFormat="1" applyFont="1" applyAlignment="1">
      <alignment vertical="top"/>
    </xf>
    <xf numFmtId="0" fontId="0" fillId="9" borderId="0" xfId="0" applyFill="1"/>
    <xf numFmtId="0" fontId="24" fillId="0" borderId="17" xfId="0" applyFont="1" applyBorder="1" applyAlignment="1">
      <alignment horizontal="left" vertical="center" wrapText="1" indent="1" readingOrder="2"/>
    </xf>
    <xf numFmtId="0" fontId="31" fillId="0" borderId="17" xfId="0" applyFont="1" applyBorder="1" applyAlignment="1">
      <alignment horizontal="left" vertical="center" wrapText="1" indent="1" readingOrder="2"/>
    </xf>
    <xf numFmtId="0" fontId="32" fillId="0" borderId="17" xfId="0" applyFont="1" applyBorder="1" applyAlignment="1">
      <alignment horizontal="right" vertical="center" wrapText="1" indent="1" readingOrder="2"/>
    </xf>
    <xf numFmtId="0" fontId="38" fillId="0" borderId="0" xfId="0" applyFont="1" applyAlignment="1">
      <alignment horizontal="center" vertical="top"/>
    </xf>
    <xf numFmtId="164" fontId="38" fillId="0" borderId="0" xfId="1" applyFont="1" applyAlignment="1">
      <alignment horizontal="center" vertical="top"/>
    </xf>
    <xf numFmtId="0" fontId="0" fillId="0" borderId="17" xfId="0" applyBorder="1" applyAlignment="1">
      <alignment vertical="top"/>
    </xf>
    <xf numFmtId="165" fontId="2" fillId="0" borderId="0" xfId="0" applyNumberFormat="1" applyFont="1"/>
    <xf numFmtId="165" fontId="12" fillId="4" borderId="6" xfId="0" applyNumberFormat="1" applyFont="1" applyFill="1" applyBorder="1" applyAlignment="1">
      <alignment horizontal="center" vertical="center" wrapText="1" readingOrder="2"/>
    </xf>
    <xf numFmtId="0" fontId="40" fillId="13" borderId="0" xfId="0" applyFont="1" applyFill="1" applyAlignment="1">
      <alignment vertical="center" wrapText="1" readingOrder="2"/>
    </xf>
    <xf numFmtId="0" fontId="29" fillId="0" borderId="0" xfId="0" applyFont="1" applyAlignment="1">
      <alignment horizontal="center" vertical="top"/>
    </xf>
    <xf numFmtId="165" fontId="0" fillId="0" borderId="6" xfId="0" applyNumberFormat="1" applyBorder="1" applyAlignment="1">
      <alignment vertical="top"/>
    </xf>
    <xf numFmtId="165" fontId="27" fillId="0" borderId="0" xfId="0" applyNumberFormat="1" applyFont="1"/>
    <xf numFmtId="165" fontId="13" fillId="0" borderId="0" xfId="1" applyNumberFormat="1" applyFont="1" applyAlignment="1">
      <alignment vertical="top"/>
    </xf>
    <xf numFmtId="0" fontId="27" fillId="0" borderId="0" xfId="0" applyFont="1" applyAlignment="1">
      <alignment vertical="top"/>
    </xf>
    <xf numFmtId="0" fontId="16" fillId="0" borderId="0" xfId="0" applyFont="1" applyAlignment="1">
      <alignment vertical="center"/>
    </xf>
    <xf numFmtId="0" fontId="16" fillId="0" borderId="0" xfId="0" applyFont="1" applyAlignment="1">
      <alignment horizontal="center" vertical="center"/>
    </xf>
    <xf numFmtId="0" fontId="17" fillId="0" borderId="0" xfId="0" applyFont="1" applyAlignment="1" applyProtection="1">
      <alignment horizontal="left" vertical="center"/>
      <protection locked="0"/>
    </xf>
    <xf numFmtId="0" fontId="18" fillId="13" borderId="0" xfId="0" applyFont="1" applyFill="1" applyAlignment="1">
      <alignment horizontal="right" vertical="center"/>
    </xf>
    <xf numFmtId="0" fontId="16" fillId="13" borderId="0" xfId="0" applyFont="1" applyFill="1" applyAlignment="1">
      <alignment vertical="center"/>
    </xf>
    <xf numFmtId="0" fontId="18" fillId="0" borderId="0" xfId="0" applyFont="1" applyAlignment="1">
      <alignment horizontal="center" vertical="center" wrapText="1"/>
    </xf>
    <xf numFmtId="0" fontId="18" fillId="0" borderId="0" xfId="0" applyFont="1" applyAlignment="1">
      <alignment horizontal="right" vertical="center"/>
    </xf>
    <xf numFmtId="0" fontId="36" fillId="0" borderId="0" xfId="0" applyFont="1" applyAlignment="1">
      <alignment horizontal="right" vertical="center"/>
    </xf>
    <xf numFmtId="14" fontId="16" fillId="0" borderId="0" xfId="0" applyNumberFormat="1" applyFont="1" applyAlignment="1">
      <alignment vertical="center"/>
    </xf>
    <xf numFmtId="14" fontId="18" fillId="0" borderId="0" xfId="0" applyNumberFormat="1" applyFont="1" applyAlignment="1">
      <alignment horizontal="right" vertical="center"/>
    </xf>
    <xf numFmtId="0" fontId="33" fillId="0" borderId="0" xfId="0" applyFont="1" applyAlignment="1">
      <alignment vertical="center"/>
    </xf>
    <xf numFmtId="0" fontId="20" fillId="0" borderId="0" xfId="0" applyFont="1" applyAlignment="1">
      <alignment vertical="center"/>
    </xf>
    <xf numFmtId="0" fontId="2" fillId="0" borderId="0" xfId="0" applyFont="1" applyAlignment="1">
      <alignment vertical="center"/>
    </xf>
    <xf numFmtId="165" fontId="1" fillId="0" borderId="0" xfId="1" applyNumberFormat="1" applyFont="1" applyAlignment="1">
      <alignment vertical="center"/>
    </xf>
    <xf numFmtId="165" fontId="2" fillId="0" borderId="0" xfId="1" applyNumberFormat="1" applyFont="1" applyAlignment="1">
      <alignment vertical="center"/>
    </xf>
    <xf numFmtId="0" fontId="39" fillId="13" borderId="0" xfId="0" applyFont="1" applyFill="1" applyAlignment="1">
      <alignment horizontal="right" vertical="center"/>
    </xf>
    <xf numFmtId="0" fontId="39" fillId="13" borderId="0" xfId="0" applyFont="1" applyFill="1" applyAlignment="1">
      <alignment vertical="center"/>
    </xf>
    <xf numFmtId="165" fontId="39" fillId="13" borderId="0" xfId="0" applyNumberFormat="1" applyFont="1" applyFill="1" applyAlignment="1">
      <alignment horizontal="right" vertical="center"/>
    </xf>
    <xf numFmtId="165" fontId="39" fillId="13" borderId="0" xfId="0" applyNumberFormat="1" applyFont="1" applyFill="1" applyAlignment="1">
      <alignment vertical="center"/>
    </xf>
    <xf numFmtId="0" fontId="40" fillId="13" borderId="0" xfId="0" applyFont="1" applyFill="1" applyAlignment="1">
      <alignment vertical="center"/>
    </xf>
    <xf numFmtId="0" fontId="16" fillId="13" borderId="0" xfId="0" applyFont="1" applyFill="1" applyAlignment="1">
      <alignment horizontal="right" vertical="center"/>
    </xf>
    <xf numFmtId="165" fontId="16" fillId="0" borderId="0" xfId="0" applyNumberFormat="1" applyFont="1" applyAlignment="1">
      <alignment horizontal="center" vertical="center"/>
    </xf>
    <xf numFmtId="165" fontId="39" fillId="13" borderId="0" xfId="1" applyNumberFormat="1" applyFont="1" applyFill="1" applyAlignment="1">
      <alignment horizontal="right" vertical="center"/>
    </xf>
    <xf numFmtId="0" fontId="16" fillId="13" borderId="0" xfId="0" applyFont="1" applyFill="1" applyAlignment="1">
      <alignment horizontal="center" vertical="center"/>
    </xf>
    <xf numFmtId="0" fontId="37" fillId="0" borderId="0" xfId="0" applyFont="1" applyAlignment="1">
      <alignment horizontal="center" vertical="center"/>
    </xf>
    <xf numFmtId="0" fontId="42" fillId="13" borderId="0" xfId="0" applyFont="1" applyFill="1" applyAlignment="1">
      <alignment horizontal="center" vertical="center"/>
    </xf>
    <xf numFmtId="0" fontId="37" fillId="13" borderId="0" xfId="0" applyFont="1" applyFill="1" applyAlignment="1">
      <alignment horizontal="center" vertical="center"/>
    </xf>
    <xf numFmtId="171" fontId="39" fillId="13" borderId="0" xfId="1" applyNumberFormat="1" applyFont="1" applyFill="1" applyAlignment="1">
      <alignment horizontal="right" vertical="center"/>
    </xf>
    <xf numFmtId="0" fontId="44" fillId="13" borderId="0" xfId="0" applyFont="1" applyFill="1" applyAlignment="1">
      <alignment horizontal="center" vertical="center"/>
    </xf>
    <xf numFmtId="0" fontId="45" fillId="13" borderId="0" xfId="0" applyFont="1" applyFill="1" applyAlignment="1">
      <alignment horizontal="right" vertical="center"/>
    </xf>
    <xf numFmtId="0" fontId="46" fillId="13" borderId="0" xfId="0" applyFont="1" applyFill="1" applyAlignment="1">
      <alignment horizontal="right" vertical="center"/>
    </xf>
    <xf numFmtId="14" fontId="39" fillId="13" borderId="0" xfId="0" applyNumberFormat="1" applyFont="1" applyFill="1" applyAlignment="1">
      <alignment horizontal="right" vertical="center"/>
    </xf>
    <xf numFmtId="164" fontId="39" fillId="13" borderId="0" xfId="1" applyFont="1" applyFill="1" applyBorder="1" applyAlignment="1">
      <alignment horizontal="right" vertical="center"/>
    </xf>
    <xf numFmtId="0" fontId="39" fillId="13" borderId="0" xfId="0" applyFont="1" applyFill="1" applyAlignment="1">
      <alignment horizontal="center" vertical="center"/>
    </xf>
    <xf numFmtId="0" fontId="47" fillId="12" borderId="0" xfId="0" applyFont="1" applyFill="1" applyAlignment="1">
      <alignment horizontal="center" vertical="center"/>
    </xf>
    <xf numFmtId="167" fontId="0" fillId="0" borderId="0" xfId="2" applyNumberFormat="1" applyFont="1" applyAlignment="1">
      <alignment vertical="top"/>
    </xf>
    <xf numFmtId="165" fontId="0" fillId="0" borderId="0" xfId="0" applyNumberFormat="1" applyAlignment="1">
      <alignment vertical="top"/>
    </xf>
    <xf numFmtId="167" fontId="2" fillId="0" borderId="0" xfId="2" applyNumberFormat="1" applyFont="1" applyAlignment="1">
      <alignment vertical="top"/>
    </xf>
    <xf numFmtId="2" fontId="2" fillId="0" borderId="0" xfId="0" applyNumberFormat="1" applyFont="1" applyAlignment="1">
      <alignment horizontal="right" vertical="center"/>
    </xf>
    <xf numFmtId="0" fontId="2" fillId="7" borderId="0" xfId="0" applyFont="1" applyFill="1" applyAlignment="1">
      <alignment horizontal="center" vertical="center" wrapText="1"/>
    </xf>
    <xf numFmtId="38" fontId="0" fillId="0" borderId="0" xfId="0" applyNumberFormat="1" applyAlignment="1">
      <alignment vertical="top"/>
    </xf>
    <xf numFmtId="0" fontId="21" fillId="13" borderId="0" xfId="0" applyFont="1" applyFill="1" applyAlignment="1">
      <alignment horizontal="right" vertical="center"/>
    </xf>
    <xf numFmtId="0" fontId="21" fillId="13" borderId="0" xfId="0" applyFont="1" applyFill="1" applyAlignment="1">
      <alignment vertical="center"/>
    </xf>
    <xf numFmtId="0" fontId="9" fillId="14" borderId="0" xfId="0" applyFont="1" applyFill="1" applyAlignment="1">
      <alignment horizontal="center" vertical="center"/>
    </xf>
    <xf numFmtId="0" fontId="49" fillId="0" borderId="0" xfId="0" applyFont="1" applyAlignment="1">
      <alignment vertical="center"/>
    </xf>
    <xf numFmtId="165" fontId="48" fillId="0" borderId="0" xfId="1" applyNumberFormat="1" applyFont="1" applyAlignment="1">
      <alignment vertical="center"/>
    </xf>
    <xf numFmtId="9" fontId="49" fillId="0" borderId="0" xfId="2" applyFont="1" applyAlignment="1">
      <alignment vertical="center"/>
    </xf>
    <xf numFmtId="165" fontId="0" fillId="0" borderId="0" xfId="1" applyNumberFormat="1" applyFont="1" applyAlignment="1">
      <alignment vertical="center"/>
    </xf>
    <xf numFmtId="0" fontId="2" fillId="5" borderId="0" xfId="0" applyFont="1" applyFill="1" applyAlignment="1">
      <alignment vertical="center"/>
    </xf>
    <xf numFmtId="165" fontId="2" fillId="5" borderId="0" xfId="1" applyNumberFormat="1" applyFont="1" applyFill="1" applyAlignment="1">
      <alignment vertical="center"/>
    </xf>
    <xf numFmtId="0" fontId="2" fillId="3" borderId="0" xfId="0" applyFont="1" applyFill="1" applyAlignment="1">
      <alignment vertical="center"/>
    </xf>
    <xf numFmtId="165" fontId="2" fillId="3" borderId="0" xfId="1" applyNumberFormat="1" applyFont="1" applyFill="1" applyAlignment="1">
      <alignment vertical="center"/>
    </xf>
    <xf numFmtId="165" fontId="0" fillId="0" borderId="0" xfId="0" applyNumberFormat="1" applyAlignment="1">
      <alignment vertical="center"/>
    </xf>
    <xf numFmtId="171" fontId="0" fillId="0" borderId="0" xfId="1" applyNumberFormat="1" applyFont="1" applyAlignment="1">
      <alignment vertical="center"/>
    </xf>
    <xf numFmtId="171" fontId="0" fillId="0" borderId="0" xfId="1" applyNumberFormat="1" applyFont="1" applyAlignment="1">
      <alignment horizontal="right" vertical="center"/>
    </xf>
    <xf numFmtId="171" fontId="2" fillId="0" borderId="0" xfId="1" applyNumberFormat="1" applyFont="1" applyAlignment="1">
      <alignment horizontal="right" vertical="center"/>
    </xf>
    <xf numFmtId="38" fontId="0" fillId="0" borderId="0" xfId="0" applyNumberFormat="1" applyAlignment="1">
      <alignment vertical="center"/>
    </xf>
    <xf numFmtId="0" fontId="10" fillId="0" borderId="0" xfId="0" applyFont="1" applyAlignment="1">
      <alignment vertical="center"/>
    </xf>
    <xf numFmtId="0" fontId="9" fillId="0" borderId="0" xfId="0" applyFont="1" applyAlignment="1">
      <alignment horizontal="center" vertical="center"/>
    </xf>
    <xf numFmtId="165" fontId="10" fillId="0" borderId="0" xfId="1" applyNumberFormat="1" applyFont="1" applyFill="1" applyAlignment="1">
      <alignment vertical="center"/>
    </xf>
    <xf numFmtId="0" fontId="25" fillId="0" borderId="0" xfId="0" applyFont="1" applyAlignment="1">
      <alignment vertical="center"/>
    </xf>
    <xf numFmtId="165" fontId="25" fillId="0" borderId="0" xfId="1" applyNumberFormat="1" applyFont="1" applyFill="1" applyAlignment="1">
      <alignment vertical="center"/>
    </xf>
    <xf numFmtId="171" fontId="25" fillId="0" borderId="0" xfId="1" applyNumberFormat="1" applyFont="1" applyAlignment="1">
      <alignment vertical="center"/>
    </xf>
    <xf numFmtId="171" fontId="1" fillId="0" borderId="0" xfId="1" applyNumberFormat="1" applyFont="1" applyAlignment="1">
      <alignment horizontal="right" vertical="center"/>
    </xf>
    <xf numFmtId="165" fontId="10" fillId="0" borderId="0" xfId="1" applyNumberFormat="1" applyFont="1" applyAlignment="1">
      <alignment vertical="center"/>
    </xf>
    <xf numFmtId="0" fontId="9" fillId="14" borderId="3" xfId="0" applyFont="1" applyFill="1" applyBorder="1" applyAlignment="1">
      <alignment horizontal="center" vertical="center"/>
    </xf>
    <xf numFmtId="165" fontId="2" fillId="15" borderId="1" xfId="1" applyNumberFormat="1" applyFont="1" applyFill="1" applyBorder="1" applyAlignment="1">
      <alignment horizontal="center" vertical="center"/>
    </xf>
    <xf numFmtId="38" fontId="2" fillId="0" borderId="28" xfId="0" applyNumberFormat="1" applyFont="1" applyBorder="1" applyAlignment="1">
      <alignment horizontal="right" vertical="center" indent="2"/>
    </xf>
    <xf numFmtId="0" fontId="10" fillId="14" borderId="0" xfId="0" applyFont="1" applyFill="1" applyAlignment="1">
      <alignment horizontal="right" vertical="center" indent="2"/>
    </xf>
    <xf numFmtId="0" fontId="50" fillId="14" borderId="0" xfId="0" applyFont="1" applyFill="1" applyAlignment="1">
      <alignment horizontal="right" vertical="center" indent="2"/>
    </xf>
    <xf numFmtId="165" fontId="2" fillId="10" borderId="3" xfId="1" applyNumberFormat="1" applyFont="1" applyFill="1" applyBorder="1" applyAlignment="1">
      <alignment vertical="center"/>
    </xf>
    <xf numFmtId="0" fontId="52" fillId="13" borderId="0" xfId="0" applyFont="1" applyFill="1" applyAlignment="1">
      <alignment horizontal="right" vertical="center"/>
    </xf>
    <xf numFmtId="0" fontId="54" fillId="16" borderId="30" xfId="0" applyFont="1" applyFill="1" applyBorder="1" applyAlignment="1">
      <alignment horizontal="center" vertical="center" wrapText="1"/>
    </xf>
    <xf numFmtId="0" fontId="54" fillId="16" borderId="30" xfId="0" applyFont="1" applyFill="1" applyBorder="1" applyAlignment="1">
      <alignment horizontal="center" vertical="center"/>
    </xf>
    <xf numFmtId="0" fontId="55" fillId="16" borderId="30" xfId="0" applyFont="1" applyFill="1" applyBorder="1" applyAlignment="1">
      <alignment horizontal="center" vertical="center"/>
    </xf>
    <xf numFmtId="0" fontId="56" fillId="17" borderId="30" xfId="0" applyFont="1" applyFill="1" applyBorder="1" applyAlignment="1">
      <alignment horizontal="center" vertical="center" wrapText="1"/>
    </xf>
    <xf numFmtId="38" fontId="0" fillId="17" borderId="30" xfId="0" applyNumberFormat="1" applyFill="1" applyBorder="1" applyAlignment="1">
      <alignment horizontal="center" vertical="center"/>
    </xf>
    <xf numFmtId="38" fontId="2" fillId="17" borderId="30" xfId="0" applyNumberFormat="1" applyFont="1" applyFill="1" applyBorder="1" applyAlignment="1">
      <alignment horizontal="center" vertical="center"/>
    </xf>
    <xf numFmtId="9" fontId="58" fillId="17" borderId="0" xfId="0" applyNumberFormat="1" applyFont="1" applyFill="1" applyAlignment="1">
      <alignment horizontal="center" vertical="center"/>
    </xf>
    <xf numFmtId="0" fontId="59" fillId="18" borderId="0" xfId="0" applyFont="1" applyFill="1" applyAlignment="1">
      <alignment horizontal="center" vertical="center"/>
    </xf>
    <xf numFmtId="0" fontId="60" fillId="16" borderId="0" xfId="0" applyFont="1" applyFill="1" applyAlignment="1">
      <alignment vertical="center"/>
    </xf>
    <xf numFmtId="0" fontId="61" fillId="16" borderId="0" xfId="0" applyFont="1" applyFill="1" applyAlignment="1">
      <alignment vertical="center"/>
    </xf>
    <xf numFmtId="165" fontId="1" fillId="0" borderId="6" xfId="1" applyNumberFormat="1" applyFont="1" applyBorder="1" applyAlignment="1">
      <alignment vertical="top"/>
    </xf>
    <xf numFmtId="0" fontId="66" fillId="17" borderId="0" xfId="0" applyFont="1" applyFill="1" applyAlignment="1">
      <alignment vertical="center"/>
    </xf>
    <xf numFmtId="0" fontId="67" fillId="17" borderId="0" xfId="0" applyFont="1" applyFill="1" applyAlignment="1">
      <alignment vertical="center"/>
    </xf>
    <xf numFmtId="165" fontId="1" fillId="10" borderId="6" xfId="1" applyNumberFormat="1" applyFont="1" applyFill="1" applyBorder="1" applyAlignment="1" applyProtection="1">
      <alignment vertical="top"/>
      <protection locked="0"/>
    </xf>
    <xf numFmtId="0" fontId="54" fillId="19" borderId="35" xfId="0" applyFont="1" applyFill="1" applyBorder="1" applyAlignment="1">
      <alignment horizontal="center" vertical="center"/>
    </xf>
    <xf numFmtId="0" fontId="0" fillId="0" borderId="35" xfId="0" applyBorder="1" applyAlignment="1">
      <alignment vertical="center"/>
    </xf>
    <xf numFmtId="165" fontId="54" fillId="0" borderId="35" xfId="0" applyNumberFormat="1" applyFont="1" applyBorder="1" applyAlignment="1">
      <alignment vertical="center"/>
    </xf>
    <xf numFmtId="169" fontId="11" fillId="10" borderId="6" xfId="0" applyNumberFormat="1" applyFont="1" applyFill="1" applyBorder="1" applyAlignment="1" applyProtection="1">
      <alignment horizontal="right" vertical="center" wrapText="1" readingOrder="2"/>
      <protection locked="0"/>
    </xf>
    <xf numFmtId="165" fontId="1" fillId="10" borderId="6" xfId="1" applyNumberFormat="1" applyFont="1" applyFill="1" applyBorder="1" applyAlignment="1" applyProtection="1">
      <alignment horizontal="right"/>
      <protection locked="0"/>
    </xf>
    <xf numFmtId="0" fontId="74" fillId="21" borderId="6" xfId="0" applyFont="1" applyFill="1" applyBorder="1" applyAlignment="1">
      <alignment horizontal="center" vertical="center" wrapText="1" readingOrder="2"/>
    </xf>
    <xf numFmtId="165" fontId="57" fillId="0" borderId="35" xfId="0" applyNumberFormat="1" applyFont="1" applyBorder="1" applyAlignment="1">
      <alignment vertical="center"/>
    </xf>
    <xf numFmtId="0" fontId="0" fillId="7" borderId="6" xfId="0" applyFill="1" applyBorder="1" applyAlignment="1" applyProtection="1">
      <alignment vertical="top"/>
      <protection locked="0"/>
    </xf>
    <xf numFmtId="165" fontId="25" fillId="7" borderId="6" xfId="1" applyNumberFormat="1" applyFont="1" applyFill="1" applyBorder="1" applyAlignment="1" applyProtection="1">
      <alignment vertical="top"/>
      <protection locked="0"/>
    </xf>
    <xf numFmtId="0" fontId="0" fillId="11" borderId="6" xfId="0" applyFill="1" applyBorder="1" applyAlignment="1" applyProtection="1">
      <alignment vertical="top"/>
      <protection locked="0"/>
    </xf>
    <xf numFmtId="0" fontId="19" fillId="0" borderId="0" xfId="0" applyFont="1" applyAlignment="1">
      <alignment horizontal="center" vertical="center" wrapText="1"/>
    </xf>
    <xf numFmtId="0" fontId="0" fillId="7" borderId="0" xfId="0" applyFill="1" applyAlignment="1" applyProtection="1">
      <alignment vertical="top"/>
      <protection locked="0"/>
    </xf>
    <xf numFmtId="165" fontId="25" fillId="7" borderId="0" xfId="1" applyNumberFormat="1" applyFont="1" applyFill="1" applyBorder="1" applyAlignment="1" applyProtection="1">
      <alignment vertical="top"/>
      <protection locked="0"/>
    </xf>
    <xf numFmtId="0" fontId="0" fillId="7" borderId="10" xfId="0" applyFill="1" applyBorder="1" applyAlignment="1" applyProtection="1">
      <alignment vertical="top"/>
      <protection locked="0"/>
    </xf>
    <xf numFmtId="165" fontId="25" fillId="7" borderId="10" xfId="1" applyNumberFormat="1" applyFont="1" applyFill="1" applyBorder="1" applyAlignment="1" applyProtection="1">
      <alignment vertical="top"/>
      <protection locked="0"/>
    </xf>
    <xf numFmtId="0" fontId="0" fillId="11" borderId="37" xfId="0" applyFill="1" applyBorder="1" applyAlignment="1" applyProtection="1">
      <alignment vertical="top"/>
      <protection locked="0"/>
    </xf>
    <xf numFmtId="165" fontId="25" fillId="7" borderId="37" xfId="1" applyNumberFormat="1" applyFont="1" applyFill="1" applyBorder="1" applyAlignment="1" applyProtection="1">
      <alignment vertical="top"/>
      <protection locked="0"/>
    </xf>
    <xf numFmtId="165" fontId="25" fillId="10" borderId="6" xfId="1" applyNumberFormat="1" applyFont="1" applyFill="1" applyBorder="1" applyAlignment="1" applyProtection="1">
      <alignment vertical="top"/>
      <protection locked="0"/>
    </xf>
    <xf numFmtId="0" fontId="2" fillId="13" borderId="0" xfId="0" applyFont="1" applyFill="1" applyAlignment="1">
      <alignment horizontal="right" vertical="center"/>
    </xf>
    <xf numFmtId="0" fontId="0" fillId="13" borderId="0" xfId="0" applyFill="1" applyAlignment="1">
      <alignment horizontal="right" vertical="center"/>
    </xf>
    <xf numFmtId="0" fontId="75" fillId="21" borderId="0" xfId="0" applyFont="1" applyFill="1" applyAlignment="1">
      <alignment horizontal="center" vertical="center" wrapText="1" readingOrder="2"/>
    </xf>
    <xf numFmtId="0" fontId="76" fillId="21" borderId="36" xfId="0" applyFont="1" applyFill="1" applyBorder="1" applyAlignment="1">
      <alignment horizontal="center" vertical="center" wrapText="1" readingOrder="2"/>
    </xf>
    <xf numFmtId="0" fontId="0" fillId="0" borderId="36" xfId="0" applyBorder="1" applyAlignment="1">
      <alignment vertical="center"/>
    </xf>
    <xf numFmtId="167" fontId="0" fillId="23" borderId="36" xfId="0" applyNumberFormat="1" applyFill="1" applyBorder="1" applyAlignment="1">
      <alignment horizontal="center" vertical="center"/>
    </xf>
    <xf numFmtId="0" fontId="0" fillId="24" borderId="36" xfId="0" applyFill="1" applyBorder="1" applyAlignment="1">
      <alignment vertical="center"/>
    </xf>
    <xf numFmtId="0" fontId="56" fillId="25" borderId="36" xfId="0" applyFont="1" applyFill="1" applyBorder="1" applyAlignment="1">
      <alignment vertical="center"/>
    </xf>
    <xf numFmtId="167" fontId="56" fillId="25" borderId="36" xfId="0" applyNumberFormat="1" applyFont="1" applyFill="1" applyBorder="1" applyAlignment="1">
      <alignment horizontal="center" vertical="center"/>
    </xf>
    <xf numFmtId="0" fontId="68" fillId="0" borderId="0" xfId="0" applyFont="1" applyAlignment="1">
      <alignment vertical="center"/>
    </xf>
    <xf numFmtId="0" fontId="77" fillId="21" borderId="0" xfId="0" applyFont="1" applyFill="1" applyAlignment="1">
      <alignment vertical="center"/>
    </xf>
    <xf numFmtId="0" fontId="78" fillId="21" borderId="0" xfId="0" applyFont="1" applyFill="1" applyAlignment="1">
      <alignment vertical="center"/>
    </xf>
    <xf numFmtId="0" fontId="0" fillId="11" borderId="40" xfId="0" applyFill="1" applyBorder="1" applyAlignment="1" applyProtection="1">
      <alignment vertical="top"/>
      <protection locked="0"/>
    </xf>
    <xf numFmtId="165" fontId="25" fillId="7" borderId="40" xfId="1" applyNumberFormat="1" applyFont="1" applyFill="1" applyBorder="1" applyAlignment="1" applyProtection="1">
      <alignment vertical="top"/>
      <protection locked="0"/>
    </xf>
    <xf numFmtId="0" fontId="75" fillId="21" borderId="36" xfId="0" applyFont="1" applyFill="1" applyBorder="1" applyAlignment="1">
      <alignment horizontal="center" vertical="center" wrapText="1" readingOrder="2"/>
    </xf>
    <xf numFmtId="0" fontId="0" fillId="10" borderId="6" xfId="0" applyFill="1" applyBorder="1" applyAlignment="1" applyProtection="1">
      <alignment horizontal="center"/>
      <protection locked="0"/>
    </xf>
    <xf numFmtId="10" fontId="0" fillId="23" borderId="36" xfId="0" applyNumberFormat="1" applyFill="1" applyBorder="1" applyAlignment="1">
      <alignment horizontal="right" vertical="center"/>
    </xf>
    <xf numFmtId="164" fontId="0" fillId="23" borderId="36" xfId="1" applyFont="1" applyFill="1" applyBorder="1" applyAlignment="1">
      <alignment horizontal="right" vertical="center"/>
    </xf>
    <xf numFmtId="0" fontId="41" fillId="0" borderId="0" xfId="0" applyFont="1" applyAlignment="1">
      <alignment horizontal="right" vertical="center"/>
    </xf>
    <xf numFmtId="14" fontId="16" fillId="0" borderId="0" xfId="0" applyNumberFormat="1" applyFont="1" applyAlignment="1">
      <alignment horizontal="center" vertical="center"/>
    </xf>
    <xf numFmtId="170" fontId="41" fillId="0" borderId="0" xfId="0" applyNumberFormat="1" applyFont="1" applyAlignment="1">
      <alignment horizontal="right" vertical="center"/>
    </xf>
    <xf numFmtId="0" fontId="9" fillId="14" borderId="27" xfId="0" applyFont="1" applyFill="1" applyBorder="1" applyAlignment="1">
      <alignment horizontal="center" vertical="center"/>
    </xf>
    <xf numFmtId="0" fontId="81" fillId="0" borderId="0" xfId="0" applyFont="1" applyAlignment="1">
      <alignment horizontal="center" vertical="center"/>
    </xf>
    <xf numFmtId="0" fontId="56" fillId="0" borderId="0" xfId="0" applyFont="1" applyAlignment="1">
      <alignment vertical="center"/>
    </xf>
    <xf numFmtId="0" fontId="56" fillId="21" borderId="0" xfId="0" applyFont="1" applyFill="1" applyAlignment="1">
      <alignment vertical="center"/>
    </xf>
    <xf numFmtId="0" fontId="0" fillId="21" borderId="0" xfId="0" applyFill="1" applyAlignment="1">
      <alignment vertical="center"/>
    </xf>
    <xf numFmtId="165" fontId="0" fillId="0" borderId="41" xfId="0" applyNumberFormat="1" applyBorder="1" applyAlignment="1">
      <alignment vertical="center"/>
    </xf>
    <xf numFmtId="167" fontId="0" fillId="0" borderId="41" xfId="0" applyNumberFormat="1" applyBorder="1" applyAlignment="1">
      <alignment vertical="center"/>
    </xf>
    <xf numFmtId="0" fontId="56" fillId="26" borderId="0" xfId="0" applyFont="1" applyFill="1" applyAlignment="1">
      <alignment vertical="center"/>
    </xf>
    <xf numFmtId="165" fontId="0" fillId="25" borderId="41" xfId="0" applyNumberFormat="1" applyFill="1" applyBorder="1" applyAlignment="1">
      <alignment vertical="center"/>
    </xf>
    <xf numFmtId="0" fontId="56" fillId="26" borderId="42" xfId="0" applyFont="1" applyFill="1" applyBorder="1" applyAlignment="1">
      <alignment horizontal="center" vertical="center"/>
    </xf>
    <xf numFmtId="0" fontId="83" fillId="17" borderId="0" xfId="0" applyFont="1" applyFill="1" applyAlignment="1">
      <alignment vertical="center"/>
    </xf>
    <xf numFmtId="167" fontId="0" fillId="0" borderId="0" xfId="0" applyNumberFormat="1" applyAlignment="1">
      <alignment vertical="center"/>
    </xf>
    <xf numFmtId="165" fontId="56" fillId="26" borderId="0" xfId="0" applyNumberFormat="1" applyFont="1" applyFill="1" applyAlignment="1">
      <alignment vertical="center"/>
    </xf>
    <xf numFmtId="0" fontId="54" fillId="27" borderId="0" xfId="0" applyFont="1" applyFill="1" applyAlignment="1">
      <alignment horizontal="center" vertical="center"/>
    </xf>
    <xf numFmtId="165" fontId="54" fillId="27" borderId="0" xfId="0" applyNumberFormat="1" applyFont="1" applyFill="1" applyAlignment="1">
      <alignment vertical="center"/>
    </xf>
    <xf numFmtId="0" fontId="25" fillId="0" borderId="0" xfId="0" applyFont="1" applyAlignment="1">
      <alignment vertical="top"/>
    </xf>
    <xf numFmtId="0" fontId="53" fillId="0" borderId="35" xfId="0" applyFont="1" applyBorder="1" applyAlignment="1">
      <alignment vertical="center"/>
    </xf>
    <xf numFmtId="0" fontId="53" fillId="0" borderId="0" xfId="0" applyFont="1" applyAlignment="1">
      <alignment vertical="center"/>
    </xf>
    <xf numFmtId="0" fontId="83" fillId="0" borderId="0" xfId="0" applyFont="1" applyAlignment="1">
      <alignment vertical="center"/>
    </xf>
    <xf numFmtId="0" fontId="60" fillId="28" borderId="0" xfId="0" applyFont="1" applyFill="1" applyAlignment="1">
      <alignment vertical="center"/>
    </xf>
    <xf numFmtId="0" fontId="61" fillId="28" borderId="0" xfId="0" applyFont="1" applyFill="1" applyAlignment="1">
      <alignment vertical="center"/>
    </xf>
    <xf numFmtId="0" fontId="60" fillId="19" borderId="0" xfId="0" applyFont="1" applyFill="1" applyAlignment="1">
      <alignment vertical="center"/>
    </xf>
    <xf numFmtId="0" fontId="61" fillId="19" borderId="0" xfId="0" applyFont="1" applyFill="1" applyAlignment="1">
      <alignment vertical="center"/>
    </xf>
    <xf numFmtId="0" fontId="60" fillId="20" borderId="0" xfId="0" applyFont="1" applyFill="1" applyAlignment="1">
      <alignment vertical="center"/>
    </xf>
    <xf numFmtId="0" fontId="61" fillId="20" borderId="0" xfId="0" applyFont="1" applyFill="1" applyAlignment="1">
      <alignment vertical="center"/>
    </xf>
    <xf numFmtId="0" fontId="60" fillId="27" borderId="0" xfId="0" applyFont="1" applyFill="1" applyAlignment="1">
      <alignment vertical="center"/>
    </xf>
    <xf numFmtId="0" fontId="61" fillId="27" borderId="0" xfId="0" applyFont="1" applyFill="1" applyAlignment="1">
      <alignment vertical="center"/>
    </xf>
    <xf numFmtId="0" fontId="60" fillId="21" borderId="0" xfId="0" applyFont="1" applyFill="1" applyAlignment="1">
      <alignment vertical="center"/>
    </xf>
    <xf numFmtId="0" fontId="61" fillId="21" borderId="0" xfId="0" applyFont="1" applyFill="1" applyAlignment="1">
      <alignment vertical="center"/>
    </xf>
    <xf numFmtId="0" fontId="60" fillId="25" borderId="0" xfId="0" applyFont="1" applyFill="1" applyAlignment="1">
      <alignment vertical="center"/>
    </xf>
    <xf numFmtId="0" fontId="61" fillId="25" borderId="0" xfId="0" applyFont="1" applyFill="1" applyAlignment="1">
      <alignment vertical="center"/>
    </xf>
    <xf numFmtId="0" fontId="12" fillId="4" borderId="0" xfId="0" applyFont="1" applyFill="1" applyAlignment="1">
      <alignment horizontal="center" vertical="center" wrapText="1" readingOrder="1"/>
    </xf>
    <xf numFmtId="0" fontId="85" fillId="4" borderId="6" xfId="0" applyFont="1" applyFill="1" applyBorder="1" applyAlignment="1">
      <alignment horizontal="center" vertical="center" wrapText="1" readingOrder="2"/>
    </xf>
    <xf numFmtId="165" fontId="20" fillId="0" borderId="12" xfId="0" applyNumberFormat="1" applyFont="1" applyBorder="1" applyAlignment="1">
      <alignment vertical="center"/>
    </xf>
    <xf numFmtId="165" fontId="87" fillId="5" borderId="6" xfId="1" applyNumberFormat="1" applyFont="1" applyFill="1" applyBorder="1" applyAlignment="1">
      <alignment vertical="center" readingOrder="2"/>
    </xf>
    <xf numFmtId="9" fontId="87" fillId="5" borderId="6" xfId="2" applyFont="1" applyFill="1" applyBorder="1" applyAlignment="1">
      <alignment vertical="center" readingOrder="2"/>
    </xf>
    <xf numFmtId="0" fontId="41" fillId="0" borderId="0" xfId="0" applyFont="1" applyAlignment="1">
      <alignment vertical="center"/>
    </xf>
    <xf numFmtId="165" fontId="41" fillId="0" borderId="0" xfId="0" applyNumberFormat="1" applyFont="1" applyAlignment="1">
      <alignment horizontal="center" vertical="center"/>
    </xf>
    <xf numFmtId="0" fontId="20" fillId="0" borderId="0" xfId="0" applyFont="1" applyAlignment="1" applyProtection="1">
      <alignment horizontal="left" vertical="center"/>
      <protection locked="0"/>
    </xf>
    <xf numFmtId="0" fontId="88" fillId="0" borderId="0" xfId="0" applyFont="1" applyAlignment="1">
      <alignment horizontal="center" vertical="center" wrapText="1"/>
    </xf>
    <xf numFmtId="0" fontId="41" fillId="0" borderId="0" xfId="0" applyFont="1" applyAlignment="1">
      <alignment horizontal="center" vertical="center"/>
    </xf>
    <xf numFmtId="0" fontId="88" fillId="0" borderId="0" xfId="0" applyFont="1" applyAlignment="1">
      <alignment horizontal="right" vertical="center"/>
    </xf>
    <xf numFmtId="0" fontId="89" fillId="0" borderId="0" xfId="0" applyFont="1" applyAlignment="1">
      <alignment horizontal="right" vertical="center"/>
    </xf>
    <xf numFmtId="0" fontId="20" fillId="2" borderId="0" xfId="0" applyFont="1" applyFill="1" applyAlignment="1">
      <alignment vertical="center"/>
    </xf>
    <xf numFmtId="37" fontId="41" fillId="0" borderId="0" xfId="1" applyNumberFormat="1" applyFont="1" applyAlignment="1">
      <alignment vertical="center"/>
    </xf>
    <xf numFmtId="0" fontId="20" fillId="0" borderId="4" xfId="0" applyFont="1" applyBorder="1" applyAlignment="1">
      <alignment vertical="center"/>
    </xf>
    <xf numFmtId="37" fontId="20" fillId="0" borderId="4" xfId="1" applyNumberFormat="1" applyFont="1" applyBorder="1" applyAlignment="1">
      <alignment vertical="center"/>
    </xf>
    <xf numFmtId="38" fontId="41" fillId="0" borderId="6" xfId="0" applyNumberFormat="1" applyFont="1" applyBorder="1" applyAlignment="1">
      <alignment vertical="center"/>
    </xf>
    <xf numFmtId="9" fontId="41" fillId="0" borderId="6" xfId="2" applyFont="1" applyBorder="1" applyAlignment="1">
      <alignment horizontal="right" vertical="center"/>
    </xf>
    <xf numFmtId="38" fontId="41" fillId="0" borderId="6" xfId="1" applyNumberFormat="1" applyFont="1" applyBorder="1" applyAlignment="1">
      <alignment vertical="center"/>
    </xf>
    <xf numFmtId="38" fontId="41" fillId="0" borderId="0" xfId="1" applyNumberFormat="1" applyFont="1" applyBorder="1" applyAlignment="1">
      <alignment horizontal="center" vertical="center"/>
    </xf>
    <xf numFmtId="1" fontId="41" fillId="0" borderId="0" xfId="0" applyNumberFormat="1" applyFont="1" applyAlignment="1">
      <alignment horizontal="center" vertical="center"/>
    </xf>
    <xf numFmtId="0" fontId="88" fillId="0" borderId="0" xfId="0" applyFont="1" applyAlignment="1">
      <alignment vertical="center"/>
    </xf>
    <xf numFmtId="0" fontId="41" fillId="0" borderId="8" xfId="0" applyFont="1" applyBorder="1" applyAlignment="1">
      <alignment vertical="center"/>
    </xf>
    <xf numFmtId="0" fontId="41" fillId="0" borderId="8" xfId="0" applyFont="1" applyBorder="1" applyAlignment="1">
      <alignment horizontal="center" vertical="center"/>
    </xf>
    <xf numFmtId="2" fontId="96" fillId="0" borderId="8" xfId="0" applyNumberFormat="1" applyFont="1" applyBorder="1" applyAlignment="1">
      <alignment vertical="center" wrapText="1" readingOrder="2"/>
    </xf>
    <xf numFmtId="164" fontId="88" fillId="0" borderId="0" xfId="1" applyFont="1" applyAlignment="1">
      <alignment vertical="center"/>
    </xf>
    <xf numFmtId="0" fontId="88" fillId="7" borderId="0" xfId="0" applyFont="1" applyFill="1" applyAlignment="1">
      <alignment vertical="center"/>
    </xf>
    <xf numFmtId="0" fontId="88" fillId="7" borderId="0" xfId="0" applyFont="1" applyFill="1" applyAlignment="1">
      <alignment horizontal="center" vertical="center"/>
    </xf>
    <xf numFmtId="0" fontId="84" fillId="0" borderId="0" xfId="0" applyFont="1" applyAlignment="1">
      <alignment vertical="center"/>
    </xf>
    <xf numFmtId="0" fontId="84" fillId="7" borderId="0" xfId="0" applyFont="1" applyFill="1" applyAlignment="1">
      <alignment vertical="center"/>
    </xf>
    <xf numFmtId="0" fontId="84" fillId="7" borderId="0" xfId="0" applyFont="1" applyFill="1" applyAlignment="1">
      <alignment horizontal="center" vertical="center"/>
    </xf>
    <xf numFmtId="165" fontId="88" fillId="7" borderId="0" xfId="0" applyNumberFormat="1" applyFont="1" applyFill="1" applyAlignment="1">
      <alignment vertical="center"/>
    </xf>
    <xf numFmtId="0" fontId="84" fillId="0" borderId="0" xfId="0" applyFont="1" applyAlignment="1">
      <alignment horizontal="center" vertical="center"/>
    </xf>
    <xf numFmtId="165" fontId="41" fillId="7" borderId="6" xfId="1" applyNumberFormat="1" applyFont="1" applyFill="1" applyBorder="1" applyAlignment="1">
      <alignment horizontal="center" vertical="center"/>
    </xf>
    <xf numFmtId="165" fontId="41" fillId="0" borderId="6" xfId="1" applyNumberFormat="1" applyFont="1" applyBorder="1" applyAlignment="1">
      <alignment horizontal="center" vertical="center"/>
    </xf>
    <xf numFmtId="165" fontId="20" fillId="2" borderId="6" xfId="1" applyNumberFormat="1" applyFont="1" applyFill="1" applyBorder="1" applyAlignment="1">
      <alignment horizontal="center" vertical="center"/>
    </xf>
    <xf numFmtId="0" fontId="88" fillId="0" borderId="0" xfId="0" applyFont="1" applyAlignment="1">
      <alignment horizontal="center" vertical="center"/>
    </xf>
    <xf numFmtId="165" fontId="41" fillId="0" borderId="0" xfId="1" applyNumberFormat="1" applyFont="1" applyAlignment="1">
      <alignment vertical="center"/>
    </xf>
    <xf numFmtId="9" fontId="96" fillId="0" borderId="0" xfId="2" applyFont="1" applyAlignment="1">
      <alignment vertical="center"/>
    </xf>
    <xf numFmtId="165" fontId="20" fillId="3" borderId="0" xfId="1" applyNumberFormat="1" applyFont="1" applyFill="1" applyAlignment="1">
      <alignment vertical="center"/>
    </xf>
    <xf numFmtId="10" fontId="96" fillId="0" borderId="0" xfId="2" applyNumberFormat="1" applyFont="1" applyAlignment="1">
      <alignment vertical="center"/>
    </xf>
    <xf numFmtId="0" fontId="97" fillId="7" borderId="0" xfId="0" applyFont="1" applyFill="1" applyAlignment="1">
      <alignment horizontal="right" vertical="center" wrapText="1" readingOrder="2"/>
    </xf>
    <xf numFmtId="165" fontId="20" fillId="8" borderId="0" xfId="1" applyNumberFormat="1" applyFont="1" applyFill="1" applyAlignment="1">
      <alignment vertical="center"/>
    </xf>
    <xf numFmtId="165" fontId="20" fillId="8" borderId="19" xfId="1" applyNumberFormat="1" applyFont="1" applyFill="1" applyBorder="1" applyAlignment="1">
      <alignment horizontal="center" vertical="center"/>
    </xf>
    <xf numFmtId="165" fontId="20" fillId="8" borderId="19" xfId="1" applyNumberFormat="1" applyFont="1" applyFill="1" applyBorder="1" applyAlignment="1">
      <alignment vertical="center"/>
    </xf>
    <xf numFmtId="165" fontId="20" fillId="0" borderId="0" xfId="1" applyNumberFormat="1" applyFont="1" applyAlignment="1">
      <alignment vertical="center"/>
    </xf>
    <xf numFmtId="165" fontId="86" fillId="6" borderId="12" xfId="1" applyNumberFormat="1" applyFont="1" applyFill="1" applyBorder="1" applyAlignment="1">
      <alignment vertical="center"/>
    </xf>
    <xf numFmtId="165" fontId="86" fillId="6" borderId="12" xfId="1" applyNumberFormat="1" applyFont="1" applyFill="1" applyBorder="1" applyAlignment="1">
      <alignment horizontal="center" vertical="center"/>
    </xf>
    <xf numFmtId="9" fontId="98" fillId="0" borderId="0" xfId="2" applyFont="1" applyAlignment="1">
      <alignment vertical="center"/>
    </xf>
    <xf numFmtId="164" fontId="41" fillId="0" borderId="0" xfId="0" applyNumberFormat="1" applyFont="1" applyAlignment="1">
      <alignment vertical="center"/>
    </xf>
    <xf numFmtId="0" fontId="20" fillId="0" borderId="0" xfId="0" applyFont="1" applyAlignment="1">
      <alignment horizontal="left" vertical="center"/>
    </xf>
    <xf numFmtId="165" fontId="84" fillId="0" borderId="0" xfId="0" applyNumberFormat="1" applyFont="1" applyAlignment="1">
      <alignment vertical="center"/>
    </xf>
    <xf numFmtId="165" fontId="88" fillId="0" borderId="0" xfId="1" applyNumberFormat="1" applyFont="1" applyAlignment="1">
      <alignment horizontal="center" vertical="center"/>
    </xf>
    <xf numFmtId="165" fontId="88" fillId="0" borderId="0" xfId="0" applyNumberFormat="1" applyFont="1" applyAlignment="1">
      <alignment vertical="center"/>
    </xf>
    <xf numFmtId="0" fontId="85" fillId="0" borderId="0" xfId="0" applyFont="1" applyAlignment="1">
      <alignment vertical="center"/>
    </xf>
    <xf numFmtId="0" fontId="85" fillId="0" borderId="0" xfId="0" applyFont="1" applyAlignment="1">
      <alignment horizontal="center" vertical="center"/>
    </xf>
    <xf numFmtId="165" fontId="88" fillId="0" borderId="0" xfId="1" applyNumberFormat="1" applyFont="1" applyAlignment="1">
      <alignment vertical="center"/>
    </xf>
    <xf numFmtId="0" fontId="20" fillId="0" borderId="0" xfId="0" applyFont="1" applyAlignment="1">
      <alignment horizontal="center" vertical="center"/>
    </xf>
    <xf numFmtId="165" fontId="20" fillId="0" borderId="0" xfId="0" applyNumberFormat="1" applyFont="1" applyAlignment="1">
      <alignment vertical="center"/>
    </xf>
    <xf numFmtId="0" fontId="12" fillId="4" borderId="0" xfId="0" applyFont="1" applyFill="1" applyAlignment="1">
      <alignment horizontal="center" vertical="center" wrapText="1" readingOrder="2"/>
    </xf>
    <xf numFmtId="165" fontId="41" fillId="0" borderId="0" xfId="1" applyNumberFormat="1" applyFont="1" applyAlignment="1">
      <alignment horizontal="center" vertical="center"/>
    </xf>
    <xf numFmtId="165" fontId="99" fillId="0" borderId="0" xfId="1" applyNumberFormat="1" applyFont="1" applyAlignment="1">
      <alignment horizontal="center" vertical="center"/>
    </xf>
    <xf numFmtId="0" fontId="41" fillId="6" borderId="0" xfId="0" applyFont="1" applyFill="1" applyAlignment="1">
      <alignment vertical="center"/>
    </xf>
    <xf numFmtId="165" fontId="100" fillId="6" borderId="0" xfId="1" applyNumberFormat="1" applyFont="1" applyFill="1" applyAlignment="1">
      <alignment horizontal="center" vertical="center"/>
    </xf>
    <xf numFmtId="165" fontId="20" fillId="6" borderId="0" xfId="1" applyNumberFormat="1" applyFont="1" applyFill="1" applyAlignment="1">
      <alignment vertical="center"/>
    </xf>
    <xf numFmtId="0" fontId="20" fillId="0" borderId="12" xfId="0" applyFont="1" applyBorder="1" applyAlignment="1">
      <alignment vertical="center"/>
    </xf>
    <xf numFmtId="165" fontId="100" fillId="0" borderId="12" xfId="1" applyNumberFormat="1" applyFont="1" applyBorder="1" applyAlignment="1">
      <alignment horizontal="center" vertical="center"/>
    </xf>
    <xf numFmtId="9" fontId="41" fillId="0" borderId="0" xfId="2" applyFont="1" applyAlignment="1">
      <alignment vertical="center"/>
    </xf>
    <xf numFmtId="165" fontId="20" fillId="0" borderId="12" xfId="1" applyNumberFormat="1" applyFont="1" applyBorder="1" applyAlignment="1">
      <alignment vertical="center"/>
    </xf>
    <xf numFmtId="165" fontId="101" fillId="0" borderId="0" xfId="0" applyNumberFormat="1" applyFont="1" applyAlignment="1">
      <alignment horizontal="center" vertical="center"/>
    </xf>
    <xf numFmtId="165" fontId="101" fillId="0" borderId="0" xfId="0" applyNumberFormat="1" applyFont="1" applyAlignment="1">
      <alignment vertical="center"/>
    </xf>
    <xf numFmtId="9" fontId="20" fillId="0" borderId="0" xfId="2" applyFont="1" applyAlignment="1">
      <alignment vertical="center"/>
    </xf>
    <xf numFmtId="165" fontId="41" fillId="7" borderId="0" xfId="1" applyNumberFormat="1" applyFont="1" applyFill="1" applyAlignment="1">
      <alignment horizontal="center" vertical="center"/>
    </xf>
    <xf numFmtId="165" fontId="41" fillId="7" borderId="0" xfId="1" applyNumberFormat="1" applyFont="1" applyFill="1" applyAlignment="1">
      <alignment vertical="center"/>
    </xf>
    <xf numFmtId="165" fontId="103" fillId="2" borderId="0" xfId="1" applyNumberFormat="1" applyFont="1" applyFill="1" applyAlignment="1">
      <alignment horizontal="center" vertical="center"/>
    </xf>
    <xf numFmtId="165" fontId="103" fillId="2" borderId="0" xfId="1" applyNumberFormat="1" applyFont="1" applyFill="1" applyAlignment="1">
      <alignment vertical="center"/>
    </xf>
    <xf numFmtId="165" fontId="20" fillId="2" borderId="8" xfId="1" applyNumberFormat="1" applyFont="1" applyFill="1" applyBorder="1" applyAlignment="1">
      <alignment horizontal="center" vertical="center"/>
    </xf>
    <xf numFmtId="165" fontId="20" fillId="2" borderId="8" xfId="1" applyNumberFormat="1" applyFont="1" applyFill="1" applyBorder="1" applyAlignment="1">
      <alignment vertical="center"/>
    </xf>
    <xf numFmtId="165" fontId="41" fillId="2" borderId="0" xfId="1" applyNumberFormat="1" applyFont="1" applyFill="1" applyAlignment="1">
      <alignment horizontal="center" vertical="center"/>
    </xf>
    <xf numFmtId="165" fontId="41" fillId="2" borderId="0" xfId="1" applyNumberFormat="1" applyFont="1" applyFill="1" applyAlignment="1">
      <alignment vertical="center"/>
    </xf>
    <xf numFmtId="165" fontId="86" fillId="0" borderId="4" xfId="0" applyNumberFormat="1" applyFont="1" applyBorder="1" applyAlignment="1">
      <alignment horizontal="center" vertical="center"/>
    </xf>
    <xf numFmtId="165" fontId="20" fillId="0" borderId="6" xfId="1" applyNumberFormat="1" applyFont="1" applyBorder="1" applyAlignment="1">
      <alignment horizontal="center" vertical="center"/>
    </xf>
    <xf numFmtId="165" fontId="104" fillId="0" borderId="6" xfId="1" applyNumberFormat="1" applyFont="1" applyBorder="1" applyAlignment="1">
      <alignment horizontal="right" vertical="center"/>
    </xf>
    <xf numFmtId="165" fontId="41" fillId="0" borderId="0" xfId="0" applyNumberFormat="1" applyFont="1" applyAlignment="1">
      <alignment vertical="center"/>
    </xf>
    <xf numFmtId="164" fontId="41" fillId="0" borderId="0" xfId="0" applyNumberFormat="1" applyFont="1" applyAlignment="1">
      <alignment horizontal="center" vertical="center"/>
    </xf>
    <xf numFmtId="165" fontId="84" fillId="0" borderId="6" xfId="1" applyNumberFormat="1" applyFont="1" applyBorder="1" applyAlignment="1">
      <alignment vertical="center" readingOrder="2"/>
    </xf>
    <xf numFmtId="165" fontId="87" fillId="5" borderId="7" xfId="1" applyNumberFormat="1" applyFont="1" applyFill="1" applyBorder="1" applyAlignment="1">
      <alignment vertical="center" readingOrder="2"/>
    </xf>
    <xf numFmtId="9" fontId="104" fillId="0" borderId="6" xfId="0" applyNumberFormat="1" applyFont="1" applyBorder="1" applyAlignment="1">
      <alignment horizontal="right" vertical="center"/>
    </xf>
    <xf numFmtId="0" fontId="85" fillId="0" borderId="0" xfId="0" applyFont="1" applyAlignment="1" applyProtection="1">
      <alignment horizontal="left" vertical="center"/>
      <protection locked="0"/>
    </xf>
    <xf numFmtId="0" fontId="101" fillId="0" borderId="0" xfId="0" applyFont="1" applyAlignment="1">
      <alignment horizontal="center" vertical="center" wrapText="1"/>
    </xf>
    <xf numFmtId="0" fontId="101" fillId="0" borderId="0" xfId="0" applyFont="1" applyAlignment="1">
      <alignment vertical="center"/>
    </xf>
    <xf numFmtId="0" fontId="101" fillId="0" borderId="0" xfId="0" applyFont="1" applyAlignment="1">
      <alignment horizontal="center" vertical="center"/>
    </xf>
    <xf numFmtId="164" fontId="101" fillId="0" borderId="0" xfId="0" applyNumberFormat="1" applyFont="1" applyAlignment="1">
      <alignment vertical="center"/>
    </xf>
    <xf numFmtId="0" fontId="105" fillId="0" borderId="0" xfId="0" applyFont="1" applyAlignment="1">
      <alignment horizontal="left" vertical="center"/>
    </xf>
    <xf numFmtId="0" fontId="101" fillId="0" borderId="0" xfId="0" applyFont="1" applyAlignment="1">
      <alignment horizontal="right" vertical="center"/>
    </xf>
    <xf numFmtId="0" fontId="106" fillId="29" borderId="0" xfId="0" applyFont="1" applyFill="1" applyAlignment="1">
      <alignment vertical="center" readingOrder="2"/>
    </xf>
    <xf numFmtId="0" fontId="82" fillId="29" borderId="0" xfId="0" applyFont="1" applyFill="1" applyAlignment="1">
      <alignment vertical="center" readingOrder="2"/>
    </xf>
    <xf numFmtId="0" fontId="9" fillId="14" borderId="26" xfId="0" applyFont="1" applyFill="1" applyBorder="1" applyAlignment="1">
      <alignment vertical="center"/>
    </xf>
    <xf numFmtId="38" fontId="2" fillId="0" borderId="43" xfId="0" applyNumberFormat="1" applyFont="1" applyBorder="1" applyAlignment="1">
      <alignment horizontal="right" vertical="center" indent="2"/>
    </xf>
    <xf numFmtId="3" fontId="2" fillId="0" borderId="43" xfId="0" applyNumberFormat="1" applyFont="1" applyBorder="1" applyAlignment="1">
      <alignment horizontal="center" vertical="center"/>
    </xf>
    <xf numFmtId="9" fontId="2" fillId="0" borderId="43" xfId="2" applyFont="1" applyBorder="1" applyAlignment="1">
      <alignment horizontal="center" vertical="center"/>
    </xf>
    <xf numFmtId="0" fontId="2" fillId="0" borderId="43" xfId="0" applyFont="1" applyBorder="1" applyAlignment="1">
      <alignment horizontal="right" vertical="center" indent="2"/>
    </xf>
    <xf numFmtId="3" fontId="2" fillId="0" borderId="43" xfId="1" applyNumberFormat="1" applyFont="1" applyBorder="1" applyAlignment="1">
      <alignment horizontal="center" vertical="center"/>
    </xf>
    <xf numFmtId="173" fontId="2" fillId="0" borderId="43" xfId="0" applyNumberFormat="1" applyFont="1" applyBorder="1" applyAlignment="1">
      <alignment horizontal="center" vertical="center"/>
    </xf>
    <xf numFmtId="0" fontId="56" fillId="0" borderId="34" xfId="0" applyFont="1" applyBorder="1" applyAlignment="1">
      <alignment vertical="center"/>
    </xf>
    <xf numFmtId="0" fontId="56" fillId="0" borderId="47" xfId="0" applyFont="1" applyBorder="1" applyAlignment="1">
      <alignment vertical="center"/>
    </xf>
    <xf numFmtId="0" fontId="0" fillId="23" borderId="48" xfId="0" applyFill="1" applyBorder="1" applyAlignment="1">
      <alignment horizontal="center" vertical="center"/>
    </xf>
    <xf numFmtId="0" fontId="56" fillId="0" borderId="49" xfId="0" applyFont="1" applyBorder="1" applyAlignment="1">
      <alignment vertical="center"/>
    </xf>
    <xf numFmtId="0" fontId="0" fillId="23" borderId="50" xfId="0" applyFill="1" applyBorder="1" applyAlignment="1">
      <alignment horizontal="center" vertical="center"/>
    </xf>
    <xf numFmtId="0" fontId="56" fillId="30" borderId="47" xfId="0" applyFont="1" applyFill="1" applyBorder="1" applyAlignment="1">
      <alignment vertical="center"/>
    </xf>
    <xf numFmtId="0" fontId="56" fillId="30" borderId="49" xfId="0" applyFont="1" applyFill="1" applyBorder="1" applyAlignment="1">
      <alignment vertical="center"/>
    </xf>
    <xf numFmtId="0" fontId="0" fillId="10" borderId="6" xfId="0" applyFill="1" applyBorder="1" applyAlignment="1" applyProtection="1">
      <alignment horizontal="center" vertical="center"/>
      <protection locked="0"/>
    </xf>
    <xf numFmtId="0" fontId="8" fillId="10" borderId="6" xfId="3" applyNumberFormat="1" applyFill="1" applyBorder="1" applyAlignment="1" applyProtection="1">
      <alignment horizontal="center" vertical="center"/>
      <protection locked="0"/>
    </xf>
    <xf numFmtId="49" fontId="0" fillId="10" borderId="6" xfId="0" applyNumberFormat="1" applyFill="1" applyBorder="1" applyAlignment="1" applyProtection="1">
      <alignment horizontal="center" vertical="center"/>
      <protection locked="0"/>
    </xf>
    <xf numFmtId="170" fontId="0" fillId="10" borderId="6" xfId="0" applyNumberFormat="1" applyFill="1" applyBorder="1" applyAlignment="1" applyProtection="1">
      <alignment horizontal="center" vertical="center"/>
      <protection locked="0"/>
    </xf>
    <xf numFmtId="165" fontId="41" fillId="0" borderId="17" xfId="1" applyNumberFormat="1" applyFont="1" applyBorder="1" applyAlignment="1">
      <alignment vertical="center"/>
    </xf>
    <xf numFmtId="0" fontId="49" fillId="0" borderId="51" xfId="0" applyFont="1" applyBorder="1" applyAlignment="1">
      <alignment vertical="center"/>
    </xf>
    <xf numFmtId="9" fontId="49" fillId="0" borderId="51" xfId="2" applyFont="1" applyBorder="1" applyAlignment="1">
      <alignment vertical="center"/>
    </xf>
    <xf numFmtId="165" fontId="20" fillId="0" borderId="4" xfId="0" applyNumberFormat="1" applyFont="1" applyBorder="1" applyAlignment="1">
      <alignment vertical="center"/>
    </xf>
    <xf numFmtId="0" fontId="112" fillId="28" borderId="0" xfId="4" applyFont="1" applyFill="1" applyAlignment="1">
      <alignment vertical="center"/>
    </xf>
    <xf numFmtId="0" fontId="72" fillId="0" borderId="0" xfId="4"/>
    <xf numFmtId="0" fontId="112" fillId="0" borderId="58" xfId="4" applyFont="1" applyBorder="1" applyAlignment="1">
      <alignment vertical="center"/>
    </xf>
    <xf numFmtId="0" fontId="112" fillId="0" borderId="0" xfId="4" applyFont="1" applyAlignment="1">
      <alignment vertical="center"/>
    </xf>
    <xf numFmtId="0" fontId="112" fillId="0" borderId="59" xfId="4" applyFont="1" applyBorder="1" applyAlignment="1">
      <alignment vertical="center"/>
    </xf>
    <xf numFmtId="49" fontId="113" fillId="0" borderId="0" xfId="4" applyNumberFormat="1" applyFont="1" applyAlignment="1">
      <alignment horizontal="right" vertical="center" readingOrder="2"/>
    </xf>
    <xf numFmtId="49" fontId="112" fillId="0" borderId="0" xfId="4" applyNumberFormat="1" applyFont="1" applyAlignment="1">
      <alignment horizontal="right" vertical="center" readingOrder="2"/>
    </xf>
    <xf numFmtId="0" fontId="115" fillId="0" borderId="0" xfId="4" applyFont="1" applyAlignment="1">
      <alignment horizontal="left" vertical="center"/>
    </xf>
    <xf numFmtId="49" fontId="117" fillId="17" borderId="0" xfId="4" applyNumberFormat="1" applyFont="1" applyFill="1" applyAlignment="1">
      <alignment horizontal="right" vertical="center" readingOrder="2"/>
    </xf>
    <xf numFmtId="49" fontId="118" fillId="17" borderId="0" xfId="4" applyNumberFormat="1" applyFont="1" applyFill="1" applyAlignment="1">
      <alignment horizontal="right" vertical="center" readingOrder="2"/>
    </xf>
    <xf numFmtId="49" fontId="119" fillId="17" borderId="0" xfId="4" applyNumberFormat="1" applyFont="1" applyFill="1" applyAlignment="1">
      <alignment horizontal="right" vertical="center" wrapText="1" readingOrder="2"/>
    </xf>
    <xf numFmtId="49" fontId="117" fillId="17" borderId="0" xfId="4" applyNumberFormat="1" applyFont="1" applyFill="1" applyAlignment="1">
      <alignment horizontal="right" vertical="center" wrapText="1" readingOrder="2"/>
    </xf>
    <xf numFmtId="49" fontId="120" fillId="17" borderId="0" xfId="4" applyNumberFormat="1" applyFont="1" applyFill="1" applyAlignment="1">
      <alignment horizontal="right" vertical="center" wrapText="1" readingOrder="2"/>
    </xf>
    <xf numFmtId="0" fontId="121" fillId="16" borderId="60" xfId="4" applyFont="1" applyFill="1" applyBorder="1" applyAlignment="1">
      <alignment vertical="center"/>
    </xf>
    <xf numFmtId="0" fontId="121" fillId="16" borderId="61" xfId="4" applyFont="1" applyFill="1" applyBorder="1" applyAlignment="1">
      <alignment vertical="center"/>
    </xf>
    <xf numFmtId="0" fontId="121" fillId="16" borderId="62" xfId="4" applyFont="1" applyFill="1" applyBorder="1" applyAlignment="1">
      <alignment vertical="center"/>
    </xf>
    <xf numFmtId="0" fontId="112" fillId="0" borderId="60" xfId="4" applyFont="1" applyBorder="1" applyAlignment="1">
      <alignment vertical="center"/>
    </xf>
    <xf numFmtId="0" fontId="112" fillId="0" borderId="61" xfId="4" applyFont="1" applyBorder="1" applyAlignment="1">
      <alignment horizontal="right" vertical="center"/>
    </xf>
    <xf numFmtId="0" fontId="112" fillId="0" borderId="61" xfId="4" applyFont="1" applyBorder="1" applyAlignment="1">
      <alignment vertical="center"/>
    </xf>
    <xf numFmtId="0" fontId="112" fillId="0" borderId="62" xfId="4" applyFont="1" applyBorder="1" applyAlignment="1">
      <alignment vertical="center"/>
    </xf>
    <xf numFmtId="0" fontId="122" fillId="22" borderId="6" xfId="0" applyFont="1" applyFill="1" applyBorder="1" applyAlignment="1">
      <alignment horizontal="center" vertical="center" wrapText="1" readingOrder="2"/>
    </xf>
    <xf numFmtId="0" fontId="12" fillId="4" borderId="6" xfId="0" applyFont="1" applyFill="1" applyBorder="1" applyAlignment="1">
      <alignment horizontal="center" vertical="center" wrapText="1" readingOrder="2"/>
    </xf>
    <xf numFmtId="0" fontId="10" fillId="0" borderId="0" xfId="0" quotePrefix="1" applyFont="1" applyAlignment="1">
      <alignment vertical="center"/>
    </xf>
    <xf numFmtId="0" fontId="85" fillId="14" borderId="6" xfId="0" applyFont="1" applyFill="1" applyBorder="1" applyAlignment="1">
      <alignment horizontal="center" vertical="center" wrapText="1" readingOrder="2"/>
    </xf>
    <xf numFmtId="165" fontId="84" fillId="0" borderId="6" xfId="0" applyNumberFormat="1" applyFont="1" applyBorder="1" applyAlignment="1">
      <alignment horizontal="center" vertical="center"/>
    </xf>
    <xf numFmtId="0" fontId="86" fillId="7" borderId="0" xfId="0" applyFont="1" applyFill="1" applyAlignment="1">
      <alignment vertical="center" wrapText="1" readingOrder="2"/>
    </xf>
    <xf numFmtId="0" fontId="12" fillId="4" borderId="0" xfId="0" applyFont="1" applyFill="1" applyAlignment="1">
      <alignment vertical="center" wrapText="1" readingOrder="2"/>
    </xf>
    <xf numFmtId="0" fontId="93" fillId="0" borderId="20" xfId="0" applyFont="1" applyBorder="1" applyAlignment="1">
      <alignment vertical="center" wrapText="1" readingOrder="2"/>
    </xf>
    <xf numFmtId="0" fontId="84" fillId="0" borderId="0" xfId="0" applyFont="1" applyAlignment="1">
      <alignment vertical="center" wrapText="1" readingOrder="2"/>
    </xf>
    <xf numFmtId="0" fontId="86" fillId="0" borderId="0" xfId="0" applyFont="1" applyAlignment="1">
      <alignment vertical="center" wrapText="1" readingOrder="2"/>
    </xf>
    <xf numFmtId="0" fontId="93" fillId="0" borderId="0" xfId="0" applyFont="1" applyAlignment="1">
      <alignment vertical="center" wrapText="1" readingOrder="2"/>
    </xf>
    <xf numFmtId="0" fontId="84" fillId="0" borderId="17" xfId="0" applyFont="1" applyBorder="1" applyAlignment="1">
      <alignment vertical="center" wrapText="1" readingOrder="2"/>
    </xf>
    <xf numFmtId="0" fontId="97" fillId="7" borderId="0" xfId="0" applyFont="1" applyFill="1" applyAlignment="1">
      <alignment vertical="center" wrapText="1" readingOrder="2"/>
    </xf>
    <xf numFmtId="0" fontId="86" fillId="3" borderId="0" xfId="0" applyFont="1" applyFill="1" applyAlignment="1">
      <alignment vertical="center" wrapText="1" readingOrder="2"/>
    </xf>
    <xf numFmtId="0" fontId="12" fillId="4" borderId="0" xfId="0" applyFont="1" applyFill="1" applyAlignment="1">
      <alignment vertical="center" readingOrder="2"/>
    </xf>
    <xf numFmtId="0" fontId="86" fillId="0" borderId="0" xfId="0" applyFont="1" applyAlignment="1">
      <alignment vertical="center" readingOrder="2"/>
    </xf>
    <xf numFmtId="0" fontId="93" fillId="0" borderId="0" xfId="0" applyFont="1" applyAlignment="1">
      <alignment vertical="center" readingOrder="2"/>
    </xf>
    <xf numFmtId="0" fontId="84" fillId="0" borderId="0" xfId="0" applyFont="1" applyAlignment="1">
      <alignment vertical="center" readingOrder="2"/>
    </xf>
    <xf numFmtId="0" fontId="86" fillId="3" borderId="0" xfId="0" applyFont="1" applyFill="1" applyAlignment="1">
      <alignment vertical="center" readingOrder="2"/>
    </xf>
    <xf numFmtId="0" fontId="84" fillId="0" borderId="0" xfId="0" applyFont="1" applyAlignment="1">
      <alignment horizontal="right" vertical="center" readingOrder="2"/>
    </xf>
    <xf numFmtId="0" fontId="97" fillId="7" borderId="0" xfId="0" applyFont="1" applyFill="1" applyAlignment="1">
      <alignment vertical="center" readingOrder="2"/>
    </xf>
    <xf numFmtId="0" fontId="93" fillId="0" borderId="20" xfId="0" applyFont="1" applyBorder="1" applyAlignment="1">
      <alignment vertical="center" readingOrder="2"/>
    </xf>
    <xf numFmtId="0" fontId="84" fillId="0" borderId="17" xfId="0" applyFont="1" applyBorder="1" applyAlignment="1">
      <alignment vertical="center" readingOrder="2"/>
    </xf>
    <xf numFmtId="0" fontId="102" fillId="2" borderId="0" xfId="0" applyFont="1" applyFill="1" applyAlignment="1">
      <alignment vertical="center" wrapText="1" readingOrder="2"/>
    </xf>
    <xf numFmtId="0" fontId="86" fillId="2" borderId="0" xfId="0" applyFont="1" applyFill="1" applyAlignment="1">
      <alignment vertical="center" wrapText="1" readingOrder="2"/>
    </xf>
    <xf numFmtId="0" fontId="86" fillId="7" borderId="4" xfId="0" applyFont="1" applyFill="1" applyBorder="1" applyAlignment="1">
      <alignment vertical="center" wrapText="1" readingOrder="2"/>
    </xf>
    <xf numFmtId="0" fontId="86" fillId="2" borderId="8" xfId="0" applyFont="1" applyFill="1" applyBorder="1" applyAlignment="1">
      <alignment vertical="center" wrapText="1" readingOrder="2"/>
    </xf>
    <xf numFmtId="0" fontId="86" fillId="7" borderId="0" xfId="0" applyFont="1" applyFill="1" applyAlignment="1">
      <alignment vertical="center" readingOrder="2"/>
    </xf>
    <xf numFmtId="0" fontId="102" fillId="2" borderId="5" xfId="0" applyFont="1" applyFill="1" applyBorder="1" applyAlignment="1">
      <alignment vertical="center" readingOrder="2"/>
    </xf>
    <xf numFmtId="0" fontId="102" fillId="2" borderId="0" xfId="0" applyFont="1" applyFill="1" applyAlignment="1">
      <alignment vertical="center" readingOrder="2"/>
    </xf>
    <xf numFmtId="0" fontId="86" fillId="2" borderId="21" xfId="0" applyFont="1" applyFill="1" applyBorder="1" applyAlignment="1">
      <alignment vertical="center" readingOrder="2"/>
    </xf>
    <xf numFmtId="0" fontId="86" fillId="2" borderId="8" xfId="0" applyFont="1" applyFill="1" applyBorder="1" applyAlignment="1">
      <alignment vertical="center" readingOrder="2"/>
    </xf>
    <xf numFmtId="0" fontId="86" fillId="2" borderId="5" xfId="0" applyFont="1" applyFill="1" applyBorder="1" applyAlignment="1">
      <alignment vertical="center" readingOrder="2"/>
    </xf>
    <xf numFmtId="0" fontId="86" fillId="2" borderId="0" xfId="0" applyFont="1" applyFill="1" applyAlignment="1">
      <alignment vertical="center" readingOrder="2"/>
    </xf>
    <xf numFmtId="0" fontId="86" fillId="7" borderId="4" xfId="0" applyFont="1" applyFill="1" applyBorder="1" applyAlignment="1">
      <alignment vertical="center" readingOrder="2"/>
    </xf>
    <xf numFmtId="0" fontId="124" fillId="0" borderId="0" xfId="4" applyFont="1"/>
    <xf numFmtId="0" fontId="56" fillId="0" borderId="0" xfId="4" applyFont="1" applyAlignment="1">
      <alignment horizontal="left"/>
    </xf>
    <xf numFmtId="0" fontId="126" fillId="19" borderId="63" xfId="4" applyFont="1" applyFill="1" applyBorder="1" applyAlignment="1">
      <alignment vertical="center"/>
    </xf>
    <xf numFmtId="0" fontId="126" fillId="19" borderId="64" xfId="4" applyFont="1" applyFill="1" applyBorder="1" applyAlignment="1">
      <alignment vertical="center"/>
    </xf>
    <xf numFmtId="0" fontId="126" fillId="19" borderId="65" xfId="4" applyFont="1" applyFill="1" applyBorder="1" applyAlignment="1">
      <alignment vertical="center"/>
    </xf>
    <xf numFmtId="0" fontId="72" fillId="0" borderId="0" xfId="4" applyAlignment="1">
      <alignment vertical="center"/>
    </xf>
    <xf numFmtId="0" fontId="56" fillId="0" borderId="0" xfId="4" applyFont="1"/>
    <xf numFmtId="0" fontId="0" fillId="10" borderId="6" xfId="0" applyFill="1" applyBorder="1" applyAlignment="1" applyProtection="1">
      <alignment vertical="top"/>
      <protection locked="0"/>
    </xf>
    <xf numFmtId="0" fontId="0" fillId="10" borderId="6" xfId="0" applyFill="1" applyBorder="1" applyAlignment="1" applyProtection="1">
      <alignment horizontal="center" vertical="top"/>
      <protection locked="0"/>
    </xf>
    <xf numFmtId="0" fontId="0" fillId="10" borderId="0" xfId="0" applyFill="1" applyProtection="1">
      <protection locked="0"/>
    </xf>
    <xf numFmtId="9" fontId="26" fillId="0" borderId="0" xfId="0" applyNumberFormat="1" applyFont="1" applyAlignment="1">
      <alignment horizontal="left"/>
    </xf>
    <xf numFmtId="38" fontId="0" fillId="10" borderId="6" xfId="0" applyNumberFormat="1" applyFill="1" applyBorder="1" applyAlignment="1" applyProtection="1">
      <alignment horizontal="center" vertical="top"/>
      <protection locked="0"/>
    </xf>
    <xf numFmtId="0" fontId="0" fillId="10" borderId="11" xfId="0" applyFill="1" applyBorder="1" applyAlignment="1" applyProtection="1">
      <alignment vertical="top"/>
      <protection locked="0"/>
    </xf>
    <xf numFmtId="0" fontId="0" fillId="10" borderId="11" xfId="0" applyFill="1" applyBorder="1" applyAlignment="1" applyProtection="1">
      <alignment horizontal="center" vertical="top"/>
      <protection locked="0"/>
    </xf>
    <xf numFmtId="165" fontId="1" fillId="10" borderId="11" xfId="1" applyNumberFormat="1" applyFont="1" applyFill="1" applyBorder="1" applyAlignment="1" applyProtection="1">
      <alignment vertical="top"/>
      <protection locked="0"/>
    </xf>
    <xf numFmtId="165" fontId="1" fillId="0" borderId="11" xfId="1" applyNumberFormat="1" applyFont="1" applyBorder="1" applyAlignment="1">
      <alignment vertical="top"/>
    </xf>
    <xf numFmtId="0" fontId="2" fillId="7" borderId="39" xfId="0" applyFont="1" applyFill="1" applyBorder="1" applyAlignment="1" applyProtection="1">
      <alignment vertical="top"/>
      <protection locked="0"/>
    </xf>
    <xf numFmtId="0" fontId="2" fillId="7" borderId="39" xfId="0" applyFont="1" applyFill="1" applyBorder="1" applyAlignment="1" applyProtection="1">
      <alignment horizontal="center" vertical="top"/>
      <protection locked="0"/>
    </xf>
    <xf numFmtId="165" fontId="2" fillId="7" borderId="39" xfId="1" applyNumberFormat="1" applyFont="1" applyFill="1" applyBorder="1" applyAlignment="1" applyProtection="1">
      <alignment vertical="top"/>
      <protection locked="0"/>
    </xf>
    <xf numFmtId="165" fontId="2" fillId="7" borderId="39" xfId="1" applyNumberFormat="1" applyFont="1" applyFill="1" applyBorder="1" applyAlignment="1">
      <alignment vertical="top"/>
    </xf>
    <xf numFmtId="0" fontId="0" fillId="10" borderId="40" xfId="0" applyFill="1" applyBorder="1" applyAlignment="1" applyProtection="1">
      <alignment vertical="top"/>
      <protection locked="0"/>
    </xf>
    <xf numFmtId="0" fontId="0" fillId="10" borderId="40" xfId="0" applyFill="1" applyBorder="1" applyAlignment="1" applyProtection="1">
      <alignment horizontal="center" vertical="top"/>
      <protection locked="0"/>
    </xf>
    <xf numFmtId="165" fontId="1" fillId="10" borderId="40" xfId="1" applyNumberFormat="1" applyFont="1" applyFill="1" applyBorder="1" applyAlignment="1" applyProtection="1">
      <alignment vertical="top"/>
      <protection locked="0"/>
    </xf>
    <xf numFmtId="165" fontId="1" fillId="0" borderId="40" xfId="1" applyNumberFormat="1" applyFont="1" applyBorder="1" applyAlignment="1">
      <alignment vertical="top"/>
    </xf>
    <xf numFmtId="0" fontId="64" fillId="7" borderId="6" xfId="0" applyFont="1" applyFill="1" applyBorder="1" applyAlignment="1">
      <alignment horizontal="center" vertical="center" wrapText="1" readingOrder="2"/>
    </xf>
    <xf numFmtId="0" fontId="65" fillId="7" borderId="6" xfId="0" applyFont="1" applyFill="1" applyBorder="1" applyAlignment="1">
      <alignment horizontal="center" vertical="center" wrapText="1" readingOrder="2"/>
    </xf>
    <xf numFmtId="165" fontId="23" fillId="10" borderId="6" xfId="1" applyNumberFormat="1" applyFont="1" applyFill="1" applyBorder="1" applyAlignment="1" applyProtection="1">
      <alignment horizontal="center"/>
      <protection locked="0"/>
    </xf>
    <xf numFmtId="9" fontId="22" fillId="7" borderId="17" xfId="0" applyNumberFormat="1" applyFont="1" applyFill="1" applyBorder="1" applyAlignment="1" applyProtection="1">
      <alignment vertical="top"/>
      <protection locked="0"/>
    </xf>
    <xf numFmtId="9" fontId="129" fillId="31" borderId="66" xfId="0" applyNumberFormat="1" applyFont="1" applyFill="1" applyBorder="1" applyAlignment="1">
      <alignment horizontal="left" vertical="center"/>
    </xf>
    <xf numFmtId="165" fontId="2" fillId="0" borderId="12" xfId="1" applyNumberFormat="1" applyFont="1" applyBorder="1" applyAlignment="1">
      <alignment vertical="top"/>
    </xf>
    <xf numFmtId="38" fontId="2" fillId="32" borderId="30" xfId="0" applyNumberFormat="1" applyFont="1" applyFill="1" applyBorder="1" applyAlignment="1">
      <alignment horizontal="center" vertical="center"/>
    </xf>
    <xf numFmtId="38" fontId="0" fillId="32" borderId="30" xfId="0" applyNumberFormat="1" applyFill="1" applyBorder="1" applyAlignment="1">
      <alignment horizontal="center" vertical="center"/>
    </xf>
    <xf numFmtId="165" fontId="1" fillId="10" borderId="6" xfId="1" applyNumberFormat="1" applyFont="1" applyFill="1" applyBorder="1" applyAlignment="1">
      <alignment horizontal="right"/>
    </xf>
    <xf numFmtId="0" fontId="74" fillId="33" borderId="6" xfId="0" applyFont="1" applyFill="1" applyBorder="1" applyAlignment="1">
      <alignment horizontal="center" vertical="center" wrapText="1" readingOrder="2"/>
    </xf>
    <xf numFmtId="38" fontId="86" fillId="6" borderId="12" xfId="1" applyNumberFormat="1" applyFont="1" applyFill="1" applyBorder="1" applyAlignment="1">
      <alignment vertical="center"/>
    </xf>
    <xf numFmtId="0" fontId="2" fillId="0" borderId="4" xfId="0" applyFont="1" applyBorder="1" applyAlignment="1">
      <alignment horizontal="right" readingOrder="2"/>
    </xf>
    <xf numFmtId="165" fontId="27" fillId="0" borderId="0" xfId="0" applyNumberFormat="1" applyFont="1" applyAlignment="1">
      <alignment vertical="top"/>
    </xf>
    <xf numFmtId="9" fontId="1" fillId="0" borderId="0" xfId="2" applyFont="1" applyBorder="1" applyAlignment="1">
      <alignment vertical="top"/>
    </xf>
    <xf numFmtId="9" fontId="0" fillId="0" borderId="0" xfId="0" applyNumberFormat="1" applyAlignment="1">
      <alignment vertical="top"/>
    </xf>
    <xf numFmtId="0" fontId="0" fillId="0" borderId="7" xfId="0" applyBorder="1" applyAlignment="1">
      <alignment vertical="top"/>
    </xf>
    <xf numFmtId="0" fontId="2" fillId="0" borderId="7" xfId="0" applyFont="1" applyBorder="1" applyAlignment="1">
      <alignment vertical="top"/>
    </xf>
    <xf numFmtId="0" fontId="0" fillId="0" borderId="6" xfId="0" applyBorder="1" applyAlignment="1">
      <alignment horizontal="right" vertical="top"/>
    </xf>
    <xf numFmtId="0" fontId="0" fillId="0" borderId="7" xfId="0" applyBorder="1" applyAlignment="1">
      <alignment horizontal="right" vertical="top"/>
    </xf>
    <xf numFmtId="0" fontId="0" fillId="0" borderId="33" xfId="0" applyBorder="1" applyAlignment="1">
      <alignment horizontal="right" vertical="center"/>
    </xf>
    <xf numFmtId="0" fontId="0" fillId="0" borderId="16" xfId="0" applyBorder="1" applyAlignment="1">
      <alignment horizontal="right" vertical="top"/>
    </xf>
    <xf numFmtId="165" fontId="2" fillId="10" borderId="11" xfId="1" applyNumberFormat="1" applyFont="1" applyFill="1" applyBorder="1" applyAlignment="1" applyProtection="1">
      <alignment vertical="top"/>
      <protection locked="0"/>
    </xf>
    <xf numFmtId="9" fontId="1" fillId="0" borderId="11" xfId="2" applyFont="1" applyBorder="1" applyAlignment="1">
      <alignment vertical="top"/>
    </xf>
    <xf numFmtId="0" fontId="0" fillId="0" borderId="67" xfId="0" applyBorder="1" applyAlignment="1">
      <alignment horizontal="right" vertical="top"/>
    </xf>
    <xf numFmtId="165" fontId="1" fillId="10" borderId="67" xfId="1" applyNumberFormat="1" applyFont="1" applyFill="1" applyBorder="1" applyAlignment="1" applyProtection="1">
      <alignment vertical="top"/>
      <protection locked="0"/>
    </xf>
    <xf numFmtId="9" fontId="1" fillId="0" borderId="67" xfId="2" applyFont="1" applyBorder="1" applyAlignment="1">
      <alignment vertical="top"/>
    </xf>
    <xf numFmtId="9" fontId="86" fillId="0" borderId="40" xfId="2" applyFont="1" applyBorder="1" applyAlignment="1">
      <alignment horizontal="center" vertical="center"/>
    </xf>
    <xf numFmtId="0" fontId="20" fillId="0" borderId="7" xfId="0" applyFont="1" applyBorder="1" applyAlignment="1">
      <alignment vertical="center"/>
    </xf>
    <xf numFmtId="0" fontId="20" fillId="0" borderId="8" xfId="0" applyFont="1" applyBorder="1" applyAlignment="1">
      <alignment vertical="center"/>
    </xf>
    <xf numFmtId="0" fontId="20" fillId="0" borderId="9" xfId="0" applyFont="1" applyBorder="1" applyAlignment="1">
      <alignment vertical="center"/>
    </xf>
    <xf numFmtId="0" fontId="20" fillId="0" borderId="0" xfId="0" applyFont="1"/>
    <xf numFmtId="49" fontId="121" fillId="16" borderId="58" xfId="4" applyNumberFormat="1" applyFont="1" applyFill="1" applyBorder="1" applyAlignment="1">
      <alignment horizontal="right" vertical="center" readingOrder="2"/>
    </xf>
    <xf numFmtId="0" fontId="80" fillId="0" borderId="0" xfId="4" applyFont="1"/>
    <xf numFmtId="0" fontId="80" fillId="0" borderId="59" xfId="4" applyFont="1" applyBorder="1"/>
    <xf numFmtId="0" fontId="113" fillId="17" borderId="52" xfId="4" applyFont="1" applyFill="1" applyBorder="1" applyAlignment="1">
      <alignment horizontal="center" vertical="center"/>
    </xf>
    <xf numFmtId="0" fontId="80" fillId="0" borderId="53" xfId="4" applyFont="1" applyBorder="1"/>
    <xf numFmtId="0" fontId="80" fillId="0" borderId="54" xfId="4" applyFont="1" applyBorder="1"/>
    <xf numFmtId="0" fontId="114" fillId="17" borderId="55" xfId="4" applyFont="1" applyFill="1" applyBorder="1" applyAlignment="1">
      <alignment horizontal="center" vertical="center"/>
    </xf>
    <xf numFmtId="0" fontId="80" fillId="0" borderId="56" xfId="4" applyFont="1" applyBorder="1"/>
    <xf numFmtId="0" fontId="80" fillId="0" borderId="57" xfId="4" applyFont="1" applyBorder="1"/>
    <xf numFmtId="49" fontId="116" fillId="17" borderId="0" xfId="4" applyNumberFormat="1" applyFont="1" applyFill="1" applyAlignment="1">
      <alignment horizontal="right" vertical="center" readingOrder="2"/>
    </xf>
    <xf numFmtId="49" fontId="117" fillId="17" borderId="0" xfId="4" applyNumberFormat="1" applyFont="1" applyFill="1" applyAlignment="1">
      <alignment horizontal="right" vertical="center" readingOrder="2"/>
    </xf>
    <xf numFmtId="49" fontId="120" fillId="17" borderId="0" xfId="4" applyNumberFormat="1" applyFont="1" applyFill="1" applyAlignment="1">
      <alignment horizontal="right" vertical="center" wrapText="1" readingOrder="2"/>
    </xf>
    <xf numFmtId="49" fontId="121" fillId="16" borderId="52" xfId="4" applyNumberFormat="1" applyFont="1" applyFill="1" applyBorder="1" applyAlignment="1">
      <alignment horizontal="center" vertical="center"/>
    </xf>
    <xf numFmtId="0" fontId="112" fillId="25" borderId="63" xfId="4" applyFont="1" applyFill="1" applyBorder="1" applyAlignment="1">
      <alignment horizontal="right" vertical="center"/>
    </xf>
    <xf numFmtId="0" fontId="80" fillId="0" borderId="64" xfId="4" applyFont="1" applyBorder="1"/>
    <xf numFmtId="0" fontId="80" fillId="0" borderId="65" xfId="4" applyFont="1" applyBorder="1"/>
    <xf numFmtId="0" fontId="125" fillId="28" borderId="0" xfId="4" applyFont="1" applyFill="1" applyAlignment="1">
      <alignment horizontal="center" vertical="center"/>
    </xf>
    <xf numFmtId="0" fontId="56" fillId="0" borderId="0" xfId="4" applyFont="1" applyAlignment="1">
      <alignment horizontal="right" vertical="top"/>
    </xf>
    <xf numFmtId="0" fontId="72" fillId="0" borderId="0" xfId="4"/>
    <xf numFmtId="0" fontId="3" fillId="24" borderId="63" xfId="4" applyFont="1" applyFill="1" applyBorder="1" applyAlignment="1">
      <alignment horizontal="right" vertical="center"/>
    </xf>
    <xf numFmtId="0" fontId="126" fillId="25" borderId="63" xfId="4" applyFont="1" applyFill="1" applyBorder="1" applyAlignment="1">
      <alignment horizontal="right" vertical="center"/>
    </xf>
    <xf numFmtId="0" fontId="107" fillId="28" borderId="0" xfId="0" applyFont="1" applyFill="1" applyAlignment="1">
      <alignment horizontal="center" vertical="center"/>
    </xf>
    <xf numFmtId="0" fontId="56" fillId="11" borderId="10" xfId="0" applyFont="1" applyFill="1" applyBorder="1" applyAlignment="1">
      <alignment horizontal="center" vertical="center" wrapText="1"/>
    </xf>
    <xf numFmtId="0" fontId="56" fillId="11" borderId="23" xfId="0" applyFont="1" applyFill="1" applyBorder="1" applyAlignment="1">
      <alignment horizontal="center" vertical="center" wrapText="1"/>
    </xf>
    <xf numFmtId="0" fontId="56" fillId="11" borderId="11" xfId="0" applyFont="1" applyFill="1" applyBorder="1" applyAlignment="1">
      <alignment horizontal="center" vertical="center" wrapText="1"/>
    </xf>
    <xf numFmtId="0" fontId="82" fillId="19" borderId="0" xfId="0" applyFont="1" applyFill="1" applyAlignment="1">
      <alignment horizontal="center" vertical="center"/>
    </xf>
    <xf numFmtId="0" fontId="80" fillId="0" borderId="0" xfId="0" applyFont="1" applyAlignment="1">
      <alignment vertical="center"/>
    </xf>
    <xf numFmtId="0" fontId="4" fillId="0" borderId="0" xfId="0" applyFont="1" applyAlignment="1">
      <alignment horizontal="right" vertical="top" wrapText="1"/>
    </xf>
    <xf numFmtId="0" fontId="2" fillId="10" borderId="0" xfId="0" applyFont="1" applyFill="1" applyAlignment="1">
      <alignment horizontal="right" vertical="top"/>
    </xf>
    <xf numFmtId="0" fontId="0" fillId="10" borderId="10" xfId="0" applyFill="1" applyBorder="1" applyAlignment="1" applyProtection="1">
      <alignment horizontal="center" vertical="center"/>
      <protection locked="0"/>
    </xf>
    <xf numFmtId="0" fontId="0" fillId="10" borderId="23" xfId="0" applyFill="1" applyBorder="1" applyAlignment="1" applyProtection="1">
      <alignment horizontal="center" vertical="center"/>
      <protection locked="0"/>
    </xf>
    <xf numFmtId="0" fontId="0" fillId="10" borderId="11" xfId="0" applyFill="1" applyBorder="1" applyAlignment="1" applyProtection="1">
      <alignment horizontal="center" vertical="center"/>
      <protection locked="0"/>
    </xf>
    <xf numFmtId="0" fontId="19" fillId="0" borderId="38" xfId="0" applyFont="1" applyBorder="1" applyAlignment="1">
      <alignment horizontal="center" vertical="center" wrapText="1"/>
    </xf>
    <xf numFmtId="0" fontId="19" fillId="0" borderId="39" xfId="0" applyFont="1" applyBorder="1" applyAlignment="1">
      <alignment horizontal="center" vertical="center" wrapText="1"/>
    </xf>
    <xf numFmtId="0" fontId="2" fillId="0" borderId="19" xfId="0" applyFont="1" applyBorder="1" applyAlignment="1">
      <alignment horizontal="left" vertical="top"/>
    </xf>
    <xf numFmtId="0" fontId="68" fillId="0" borderId="0" xfId="0" applyFont="1" applyAlignment="1">
      <alignment horizontal="right" vertical="center" wrapText="1"/>
    </xf>
    <xf numFmtId="0" fontId="56" fillId="25" borderId="0" xfId="0" applyFont="1" applyFill="1" applyAlignment="1">
      <alignment horizontal="right" vertical="center"/>
    </xf>
    <xf numFmtId="0" fontId="2" fillId="10" borderId="1" xfId="0" applyFont="1" applyFill="1" applyBorder="1" applyAlignment="1">
      <alignment horizontal="left" vertical="center" wrapText="1"/>
    </xf>
    <xf numFmtId="0" fontId="2" fillId="10" borderId="2" xfId="0" applyFont="1" applyFill="1" applyBorder="1" applyAlignment="1">
      <alignment horizontal="left" vertical="center" wrapText="1"/>
    </xf>
    <xf numFmtId="9" fontId="0" fillId="3" borderId="14" xfId="0" applyNumberFormat="1" applyFill="1" applyBorder="1" applyAlignment="1">
      <alignment horizontal="center" vertical="center" wrapText="1"/>
    </xf>
    <xf numFmtId="9" fontId="0" fillId="3" borderId="17" xfId="0" applyNumberFormat="1" applyFill="1" applyBorder="1" applyAlignment="1">
      <alignment horizontal="center" vertical="center" wrapText="1"/>
    </xf>
    <xf numFmtId="0" fontId="26" fillId="0" borderId="0" xfId="0" applyFont="1" applyAlignment="1">
      <alignment horizontal="right" vertical="top"/>
    </xf>
    <xf numFmtId="172" fontId="0" fillId="32" borderId="31" xfId="0" applyNumberFormat="1" applyFill="1" applyBorder="1" applyAlignment="1">
      <alignment horizontal="center" vertical="center"/>
    </xf>
    <xf numFmtId="172" fontId="0" fillId="32" borderId="32" xfId="0" applyNumberFormat="1" applyFill="1" applyBorder="1" applyAlignment="1">
      <alignment horizontal="center" vertical="center"/>
    </xf>
    <xf numFmtId="0" fontId="62" fillId="19" borderId="6" xfId="0" applyFont="1" applyFill="1" applyBorder="1" applyAlignment="1">
      <alignment horizontal="center" vertical="center"/>
    </xf>
    <xf numFmtId="0" fontId="63" fillId="0" borderId="6" xfId="0" applyFont="1" applyBorder="1" applyAlignment="1">
      <alignment vertical="center"/>
    </xf>
    <xf numFmtId="0" fontId="62" fillId="20" borderId="6" xfId="0" applyFont="1" applyFill="1" applyBorder="1" applyAlignment="1">
      <alignment horizontal="center" vertical="center"/>
    </xf>
    <xf numFmtId="0" fontId="0" fillId="0" borderId="17" xfId="0" applyBorder="1" applyAlignment="1">
      <alignment horizontal="right" vertical="top" wrapText="1"/>
    </xf>
    <xf numFmtId="0" fontId="0" fillId="0" borderId="0" xfId="0" applyAlignment="1">
      <alignment vertical="center"/>
    </xf>
    <xf numFmtId="0" fontId="73" fillId="19" borderId="7" xfId="0" applyFont="1" applyFill="1" applyBorder="1" applyAlignment="1">
      <alignment horizontal="center" vertical="center"/>
    </xf>
    <xf numFmtId="0" fontId="73" fillId="19" borderId="8" xfId="0" applyFont="1" applyFill="1" applyBorder="1" applyAlignment="1">
      <alignment horizontal="center" vertical="center"/>
    </xf>
    <xf numFmtId="0" fontId="73" fillId="19" borderId="9" xfId="0" applyFont="1" applyFill="1" applyBorder="1" applyAlignment="1">
      <alignment horizontal="center" vertical="center"/>
    </xf>
    <xf numFmtId="0" fontId="41" fillId="0" borderId="7" xfId="0" applyFont="1" applyBorder="1" applyAlignment="1">
      <alignment horizontal="right" vertical="center"/>
    </xf>
    <xf numFmtId="0" fontId="41" fillId="0" borderId="8" xfId="0" applyFont="1" applyBorder="1" applyAlignment="1">
      <alignment horizontal="right" vertical="center"/>
    </xf>
    <xf numFmtId="0" fontId="41" fillId="0" borderId="9" xfId="0" applyFont="1" applyBorder="1" applyAlignment="1">
      <alignment horizontal="right" vertical="center"/>
    </xf>
    <xf numFmtId="0" fontId="20" fillId="0" borderId="6" xfId="0" applyFont="1" applyBorder="1" applyAlignment="1">
      <alignment horizontal="right" vertical="center" wrapText="1" readingOrder="2"/>
    </xf>
    <xf numFmtId="0" fontId="12" fillId="4" borderId="6" xfId="0" applyFont="1" applyFill="1" applyBorder="1" applyAlignment="1">
      <alignment horizontal="center" vertical="center" wrapText="1" readingOrder="2"/>
    </xf>
    <xf numFmtId="0" fontId="20" fillId="2" borderId="0" xfId="0" applyFont="1" applyFill="1" applyAlignment="1">
      <alignment horizontal="right" vertical="center"/>
    </xf>
    <xf numFmtId="0" fontId="101" fillId="0" borderId="22" xfId="0" applyFont="1" applyBorder="1" applyAlignment="1">
      <alignment horizontal="left" vertical="center"/>
    </xf>
    <xf numFmtId="0" fontId="41" fillId="0" borderId="0" xfId="0" applyFont="1" applyAlignment="1">
      <alignment horizontal="right" vertical="center"/>
    </xf>
    <xf numFmtId="0" fontId="41" fillId="0" borderId="17" xfId="0" applyFont="1" applyBorder="1" applyAlignment="1">
      <alignment horizontal="right" vertical="center"/>
    </xf>
    <xf numFmtId="0" fontId="34" fillId="0" borderId="0" xfId="0" applyFont="1" applyAlignment="1">
      <alignment horizontal="center" vertical="center"/>
    </xf>
    <xf numFmtId="0" fontId="35" fillId="0" borderId="0" xfId="0" applyFont="1" applyAlignment="1">
      <alignment horizontal="center" vertical="center"/>
    </xf>
    <xf numFmtId="14" fontId="16" fillId="0" borderId="0" xfId="0" applyNumberFormat="1" applyFont="1" applyAlignment="1">
      <alignment horizontal="center" vertical="center"/>
    </xf>
    <xf numFmtId="170" fontId="41" fillId="0" borderId="0" xfId="0" applyNumberFormat="1" applyFont="1" applyAlignment="1">
      <alignment horizontal="right" vertical="center"/>
    </xf>
    <xf numFmtId="38" fontId="20" fillId="2" borderId="7" xfId="1" applyNumberFormat="1" applyFont="1" applyFill="1" applyBorder="1" applyAlignment="1">
      <alignment horizontal="center" vertical="center"/>
    </xf>
    <xf numFmtId="38" fontId="20" fillId="2" borderId="8" xfId="1" applyNumberFormat="1" applyFont="1" applyFill="1" applyBorder="1" applyAlignment="1">
      <alignment horizontal="center" vertical="center"/>
    </xf>
    <xf numFmtId="38" fontId="20" fillId="2" borderId="9" xfId="1" applyNumberFormat="1" applyFont="1" applyFill="1" applyBorder="1" applyAlignment="1">
      <alignment horizontal="center" vertical="center"/>
    </xf>
    <xf numFmtId="0" fontId="92" fillId="7" borderId="6" xfId="0" applyFont="1" applyFill="1" applyBorder="1" applyAlignment="1">
      <alignment horizontal="center" vertical="center" wrapText="1" readingOrder="2"/>
    </xf>
    <xf numFmtId="38" fontId="94" fillId="0" borderId="7" xfId="1" applyNumberFormat="1" applyFont="1" applyBorder="1" applyAlignment="1">
      <alignment horizontal="center" vertical="center"/>
    </xf>
    <xf numFmtId="38" fontId="94" fillId="0" borderId="9" xfId="1" applyNumberFormat="1" applyFont="1" applyBorder="1" applyAlignment="1">
      <alignment horizontal="center" vertical="center"/>
    </xf>
    <xf numFmtId="166" fontId="96" fillId="0" borderId="8" xfId="0" applyNumberFormat="1" applyFont="1" applyBorder="1" applyAlignment="1">
      <alignment horizontal="center" vertical="center" wrapText="1" readingOrder="2"/>
    </xf>
    <xf numFmtId="166" fontId="96" fillId="0" borderId="9" xfId="0" applyNumberFormat="1" applyFont="1" applyBorder="1" applyAlignment="1">
      <alignment horizontal="center" vertical="center" wrapText="1" readingOrder="2"/>
    </xf>
    <xf numFmtId="0" fontId="90" fillId="7" borderId="6" xfId="0" applyFont="1" applyFill="1" applyBorder="1" applyAlignment="1">
      <alignment horizontal="center" vertical="center" wrapText="1" readingOrder="2"/>
    </xf>
    <xf numFmtId="38" fontId="41" fillId="0" borderId="7" xfId="1" applyNumberFormat="1" applyFont="1" applyBorder="1" applyAlignment="1">
      <alignment horizontal="center" vertical="center"/>
    </xf>
    <xf numFmtId="38" fontId="41" fillId="0" borderId="9" xfId="1" applyNumberFormat="1" applyFont="1" applyBorder="1" applyAlignment="1">
      <alignment horizontal="center" vertical="center"/>
    </xf>
    <xf numFmtId="38" fontId="94" fillId="0" borderId="13" xfId="1" applyNumberFormat="1" applyFont="1" applyBorder="1" applyAlignment="1">
      <alignment horizontal="center" vertical="center"/>
    </xf>
    <xf numFmtId="38" fontId="94" fillId="0" borderId="15" xfId="1" applyNumberFormat="1" applyFont="1" applyBorder="1" applyAlignment="1">
      <alignment horizontal="center" vertical="center"/>
    </xf>
    <xf numFmtId="38" fontId="41" fillId="0" borderId="13" xfId="1" applyNumberFormat="1" applyFont="1" applyBorder="1" applyAlignment="1">
      <alignment horizontal="center" vertical="center"/>
    </xf>
    <xf numFmtId="38" fontId="41" fillId="0" borderId="15" xfId="1" applyNumberFormat="1" applyFont="1" applyBorder="1" applyAlignment="1">
      <alignment horizontal="center" vertical="center"/>
    </xf>
    <xf numFmtId="38" fontId="93" fillId="0" borderId="7" xfId="1" applyNumberFormat="1" applyFont="1" applyBorder="1" applyAlignment="1">
      <alignment horizontal="center" vertical="center"/>
    </xf>
    <xf numFmtId="38" fontId="93" fillId="0" borderId="9" xfId="1" applyNumberFormat="1" applyFont="1" applyBorder="1" applyAlignment="1">
      <alignment horizontal="center" vertical="center"/>
    </xf>
    <xf numFmtId="0" fontId="90" fillId="7" borderId="7" xfId="0" applyFont="1" applyFill="1" applyBorder="1" applyAlignment="1">
      <alignment horizontal="center" vertical="center" wrapText="1" readingOrder="2"/>
    </xf>
    <xf numFmtId="0" fontId="90" fillId="7" borderId="8" xfId="0" applyFont="1" applyFill="1" applyBorder="1" applyAlignment="1">
      <alignment horizontal="center" vertical="center" wrapText="1" readingOrder="2"/>
    </xf>
    <xf numFmtId="0" fontId="84" fillId="0" borderId="7" xfId="0" applyFont="1" applyBorder="1" applyAlignment="1">
      <alignment horizontal="right" vertical="center" wrapText="1" readingOrder="2"/>
    </xf>
    <xf numFmtId="0" fontId="84" fillId="0" borderId="8" xfId="0" applyFont="1" applyBorder="1" applyAlignment="1">
      <alignment horizontal="right" vertical="center" wrapText="1" readingOrder="2"/>
    </xf>
    <xf numFmtId="38" fontId="93" fillId="0" borderId="13" xfId="1" applyNumberFormat="1" applyFont="1" applyBorder="1" applyAlignment="1">
      <alignment horizontal="center" vertical="center"/>
    </xf>
    <xf numFmtId="38" fontId="93" fillId="0" borderId="15" xfId="1" applyNumberFormat="1" applyFont="1" applyBorder="1" applyAlignment="1">
      <alignment horizontal="center" vertical="center"/>
    </xf>
    <xf numFmtId="166" fontId="20" fillId="2" borderId="6" xfId="0" applyNumberFormat="1" applyFont="1" applyFill="1" applyBorder="1" applyAlignment="1">
      <alignment horizontal="center" vertical="center"/>
    </xf>
    <xf numFmtId="0" fontId="86" fillId="0" borderId="6" xfId="0" applyFont="1" applyBorder="1" applyAlignment="1">
      <alignment horizontal="center" vertical="center" wrapText="1" readingOrder="2"/>
    </xf>
    <xf numFmtId="0" fontId="91" fillId="7" borderId="6" xfId="0" applyFont="1" applyFill="1" applyBorder="1" applyAlignment="1">
      <alignment horizontal="center" vertical="center" wrapText="1" readingOrder="2"/>
    </xf>
    <xf numFmtId="0" fontId="12" fillId="4" borderId="7" xfId="0" applyFont="1" applyFill="1" applyBorder="1" applyAlignment="1">
      <alignment horizontal="center" vertical="center" wrapText="1" readingOrder="2"/>
    </xf>
    <xf numFmtId="0" fontId="12" fillId="4" borderId="8" xfId="0" applyFont="1" applyFill="1" applyBorder="1" applyAlignment="1">
      <alignment horizontal="center" vertical="center" wrapText="1" readingOrder="2"/>
    </xf>
    <xf numFmtId="0" fontId="95" fillId="0" borderId="7" xfId="0" applyFont="1" applyBorder="1" applyAlignment="1">
      <alignment horizontal="right" vertical="center" wrapText="1" readingOrder="2"/>
    </xf>
    <xf numFmtId="0" fontId="95" fillId="0" borderId="8" xfId="0" applyFont="1" applyBorder="1" applyAlignment="1">
      <alignment horizontal="right" vertical="center" wrapText="1" readingOrder="2"/>
    </xf>
    <xf numFmtId="165" fontId="20" fillId="2" borderId="7" xfId="1" applyNumberFormat="1" applyFont="1" applyFill="1" applyBorder="1" applyAlignment="1">
      <alignment horizontal="right" vertical="center"/>
    </xf>
    <xf numFmtId="165" fontId="20" fillId="2" borderId="8" xfId="1" applyNumberFormat="1" applyFont="1" applyFill="1" applyBorder="1" applyAlignment="1">
      <alignment horizontal="right" vertical="center"/>
    </xf>
    <xf numFmtId="165" fontId="20" fillId="2" borderId="9" xfId="1" applyNumberFormat="1" applyFont="1" applyFill="1" applyBorder="1" applyAlignment="1">
      <alignment horizontal="right" vertical="center"/>
    </xf>
    <xf numFmtId="0" fontId="85" fillId="4" borderId="6" xfId="0" applyFont="1" applyFill="1" applyBorder="1" applyAlignment="1">
      <alignment horizontal="center" vertical="center"/>
    </xf>
    <xf numFmtId="0" fontId="85" fillId="4" borderId="6" xfId="0" applyFont="1" applyFill="1" applyBorder="1" applyAlignment="1">
      <alignment horizontal="center" vertical="center" wrapText="1" readingOrder="2"/>
    </xf>
    <xf numFmtId="0" fontId="20" fillId="0" borderId="0" xfId="0" applyFont="1" applyAlignment="1">
      <alignment horizontal="center" vertical="center"/>
    </xf>
    <xf numFmtId="0" fontId="86" fillId="0" borderId="6" xfId="0" applyFont="1" applyBorder="1" applyAlignment="1">
      <alignment horizontal="right" vertical="center" readingOrder="2"/>
    </xf>
    <xf numFmtId="0" fontId="12" fillId="4" borderId="16" xfId="0" applyFont="1" applyFill="1" applyBorder="1" applyAlignment="1">
      <alignment horizontal="center" vertical="center" wrapText="1" readingOrder="2"/>
    </xf>
    <xf numFmtId="0" fontId="12" fillId="4" borderId="17" xfId="0" applyFont="1" applyFill="1" applyBorder="1" applyAlignment="1">
      <alignment horizontal="center" vertical="center" wrapText="1" readingOrder="2"/>
    </xf>
    <xf numFmtId="0" fontId="12" fillId="4" borderId="18" xfId="0" applyFont="1" applyFill="1" applyBorder="1" applyAlignment="1">
      <alignment horizontal="center" vertical="center" wrapText="1" readingOrder="2"/>
    </xf>
    <xf numFmtId="0" fontId="86" fillId="0" borderId="7" xfId="0" applyFont="1" applyBorder="1" applyAlignment="1">
      <alignment horizontal="right" vertical="center" readingOrder="2"/>
    </xf>
    <xf numFmtId="0" fontId="86" fillId="0" borderId="8" xfId="0" applyFont="1" applyBorder="1" applyAlignment="1">
      <alignment horizontal="right" vertical="center" readingOrder="2"/>
    </xf>
    <xf numFmtId="0" fontId="86" fillId="0" borderId="9" xfId="0" applyFont="1" applyBorder="1" applyAlignment="1">
      <alignment horizontal="right" vertical="center" readingOrder="2"/>
    </xf>
    <xf numFmtId="0" fontId="87" fillId="5" borderId="6" xfId="0" applyFont="1" applyFill="1" applyBorder="1" applyAlignment="1">
      <alignment horizontal="center" vertical="center" readingOrder="2"/>
    </xf>
    <xf numFmtId="0" fontId="20" fillId="0" borderId="7" xfId="0" applyFont="1" applyBorder="1" applyAlignment="1">
      <alignment vertical="center"/>
    </xf>
    <xf numFmtId="0" fontId="20" fillId="0" borderId="8" xfId="0" applyFont="1" applyBorder="1" applyAlignment="1">
      <alignment vertical="center"/>
    </xf>
    <xf numFmtId="0" fontId="20" fillId="0" borderId="9" xfId="0" applyFont="1" applyBorder="1" applyAlignment="1">
      <alignment vertical="center"/>
    </xf>
    <xf numFmtId="0" fontId="87" fillId="5" borderId="7" xfId="0" applyFont="1" applyFill="1" applyBorder="1" applyAlignment="1">
      <alignment horizontal="center" vertical="center" readingOrder="2"/>
    </xf>
    <xf numFmtId="0" fontId="87" fillId="5" borderId="8" xfId="0" applyFont="1" applyFill="1" applyBorder="1" applyAlignment="1">
      <alignment horizontal="center" vertical="center" readingOrder="2"/>
    </xf>
    <xf numFmtId="0" fontId="87" fillId="5" borderId="9" xfId="0" applyFont="1" applyFill="1" applyBorder="1" applyAlignment="1">
      <alignment horizontal="center" vertical="center" readingOrder="2"/>
    </xf>
    <xf numFmtId="0" fontId="20" fillId="0" borderId="68" xfId="0" applyFont="1" applyBorder="1" applyAlignment="1">
      <alignment vertical="center"/>
    </xf>
    <xf numFmtId="0" fontId="20" fillId="0" borderId="4" xfId="0" applyFont="1" applyBorder="1" applyAlignment="1">
      <alignment vertical="center"/>
    </xf>
    <xf numFmtId="0" fontId="20" fillId="0" borderId="69" xfId="0" applyFont="1" applyBorder="1" applyAlignment="1">
      <alignment vertical="center"/>
    </xf>
    <xf numFmtId="0" fontId="85" fillId="4" borderId="7" xfId="0" applyFont="1" applyFill="1" applyBorder="1" applyAlignment="1">
      <alignment horizontal="center" vertical="center" wrapText="1" readingOrder="2"/>
    </xf>
    <xf numFmtId="0" fontId="85" fillId="4" borderId="8" xfId="0" applyFont="1" applyFill="1" applyBorder="1" applyAlignment="1">
      <alignment horizontal="center" vertical="center" wrapText="1" readingOrder="2"/>
    </xf>
    <xf numFmtId="0" fontId="85" fillId="4" borderId="9" xfId="0" applyFont="1" applyFill="1" applyBorder="1" applyAlignment="1">
      <alignment horizontal="center" vertical="center" wrapText="1" readingOrder="2"/>
    </xf>
    <xf numFmtId="3" fontId="2" fillId="2" borderId="44" xfId="1" applyNumberFormat="1" applyFont="1" applyFill="1" applyBorder="1" applyAlignment="1">
      <alignment horizontal="center" vertical="center"/>
    </xf>
    <xf numFmtId="3" fontId="2" fillId="2" borderId="45" xfId="1" applyNumberFormat="1" applyFont="1" applyFill="1" applyBorder="1" applyAlignment="1">
      <alignment horizontal="center" vertical="center"/>
    </xf>
    <xf numFmtId="3" fontId="2" fillId="2" borderId="46" xfId="1" applyNumberFormat="1" applyFont="1" applyFill="1" applyBorder="1" applyAlignment="1">
      <alignment horizontal="center" vertical="center"/>
    </xf>
    <xf numFmtId="0" fontId="51" fillId="4" borderId="0" xfId="0" applyFont="1" applyFill="1" applyAlignment="1">
      <alignment horizontal="right" vertical="center" indent="2"/>
    </xf>
    <xf numFmtId="0" fontId="9" fillId="14" borderId="24" xfId="0" applyFont="1" applyFill="1" applyBorder="1" applyAlignment="1">
      <alignment horizontal="left" vertical="center" wrapText="1"/>
    </xf>
    <xf numFmtId="0" fontId="9" fillId="14" borderId="20" xfId="0" applyFont="1" applyFill="1" applyBorder="1" applyAlignment="1">
      <alignment horizontal="left" vertical="center" wrapText="1"/>
    </xf>
    <xf numFmtId="0" fontId="9" fillId="14" borderId="25" xfId="0" applyFont="1" applyFill="1" applyBorder="1" applyAlignment="1">
      <alignment horizontal="left" vertical="center"/>
    </xf>
    <xf numFmtId="3" fontId="2" fillId="2" borderId="0" xfId="0" applyNumberFormat="1" applyFont="1" applyFill="1" applyAlignment="1">
      <alignment horizontal="center" vertical="center"/>
    </xf>
    <xf numFmtId="3" fontId="2" fillId="2" borderId="29" xfId="0" applyNumberFormat="1" applyFont="1" applyFill="1" applyBorder="1" applyAlignment="1">
      <alignment horizontal="center" vertical="center"/>
    </xf>
    <xf numFmtId="173" fontId="2" fillId="2" borderId="44" xfId="1" applyNumberFormat="1" applyFont="1" applyFill="1" applyBorder="1" applyAlignment="1">
      <alignment horizontal="center" vertical="center"/>
    </xf>
    <xf numFmtId="173" fontId="2" fillId="2" borderId="45" xfId="1" applyNumberFormat="1" applyFont="1" applyFill="1" applyBorder="1" applyAlignment="1">
      <alignment horizontal="center" vertical="center"/>
    </xf>
    <xf numFmtId="173" fontId="2" fillId="2" borderId="46" xfId="1" applyNumberFormat="1" applyFont="1" applyFill="1" applyBorder="1" applyAlignment="1">
      <alignment horizontal="center" vertical="center"/>
    </xf>
    <xf numFmtId="0" fontId="2" fillId="0" borderId="6" xfId="0" applyFont="1" applyBorder="1" applyAlignment="1">
      <alignment horizontal="center" vertical="center"/>
    </xf>
  </cellXfs>
  <cellStyles count="7">
    <cellStyle name="Comma" xfId="1" builtinId="3"/>
    <cellStyle name="Comma 2" xfId="6" xr:uid="{00000000-0005-0000-0000-000000000000}"/>
    <cellStyle name="Normal 2" xfId="4" xr:uid="{00000000-0005-0000-0000-000004000000}"/>
    <cellStyle name="Normal 3" xfId="5" xr:uid="{00000000-0005-0000-0000-000005000000}"/>
    <cellStyle name="Percent" xfId="2" builtinId="5"/>
    <cellStyle name="ارتباط تشعبي" xfId="3" builtinId="8"/>
    <cellStyle name="عادي" xfId="0" builtinId="0"/>
  </cellStyles>
  <dxfs count="0"/>
  <tableStyles count="0" defaultTableStyle="TableStyleMedium2" defaultPivotStyle="PivotStyleLight16"/>
  <colors>
    <mruColors>
      <color rgb="FFFFFFCC"/>
      <color rgb="FFEAF0F6"/>
      <color rgb="FFFF643F"/>
      <color rgb="FFFCEFBA"/>
      <color rgb="FFF9DF73"/>
      <color rgb="FFF9F2BD"/>
      <color rgb="FFFF5B5B"/>
      <color rgb="FFFFFFE5"/>
      <color rgb="FFFFFFEB"/>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dk1">
                    <a:lumMod val="50000"/>
                    <a:lumOff val="50000"/>
                  </a:schemeClr>
                </a:solidFill>
                <a:latin typeface="+mn-lt"/>
                <a:ea typeface="+mn-ea"/>
                <a:cs typeface="+mn-cs"/>
              </a:defRPr>
            </a:pPr>
            <a:r>
              <a:rPr lang="ar-SA" b="1">
                <a:solidFill>
                  <a:schemeClr val="tx2">
                    <a:lumMod val="75000"/>
                  </a:schemeClr>
                </a:solidFill>
              </a:rPr>
              <a:t>صافي التدفقات النقدية و فترة الإسترداد</a:t>
            </a:r>
            <a:endParaRPr lang="en-US" b="1">
              <a:solidFill>
                <a:schemeClr val="tx2">
                  <a:lumMod val="75000"/>
                </a:schemeClr>
              </a:solidFill>
            </a:endParaRPr>
          </a:p>
        </c:rich>
      </c:tx>
      <c:layout>
        <c:manualLayout>
          <c:xMode val="edge"/>
          <c:yMode val="edge"/>
          <c:x val="0.70928838685167828"/>
          <c:y val="1.7897095926085464E-2"/>
        </c:manualLayout>
      </c:layout>
      <c:overlay val="0"/>
      <c:spPr>
        <a:noFill/>
        <a:ln>
          <a:noFill/>
        </a:ln>
        <a:effectLst/>
      </c:spPr>
      <c:txPr>
        <a:bodyPr rot="0" spcFirstLastPara="1" vertOverflow="ellipsis" vert="horz" wrap="square" anchor="ctr" anchorCtr="1"/>
        <a:lstStyle/>
        <a:p>
          <a:pPr>
            <a:defRPr sz="1400" b="0" i="0" u="none" strike="noStrike" kern="1200" cap="none" spc="20" baseline="0">
              <a:solidFill>
                <a:schemeClr val="dk1">
                  <a:lumMod val="50000"/>
                  <a:lumOff val="50000"/>
                </a:schemeClr>
              </a:solidFill>
              <a:latin typeface="+mn-lt"/>
              <a:ea typeface="+mn-ea"/>
              <a:cs typeface="+mn-cs"/>
            </a:defRPr>
          </a:pPr>
          <a:endParaRPr lang="en-US"/>
        </a:p>
      </c:txPr>
    </c:title>
    <c:autoTitleDeleted val="0"/>
    <c:plotArea>
      <c:layout/>
      <c:lineChart>
        <c:grouping val="standard"/>
        <c:varyColors val="0"/>
        <c:ser>
          <c:idx val="0"/>
          <c:order val="0"/>
          <c:tx>
            <c:strRef>
              <c:f>'التقرير '!$F$116</c:f>
              <c:strCache>
                <c:ptCount val="1"/>
                <c:pt idx="0">
                  <c:v>الاستثمار الأولي</c:v>
                </c:pt>
              </c:strCache>
            </c:strRef>
          </c:tx>
          <c:spPr>
            <a:ln w="22225" cap="rnd" cmpd="sng" algn="ctr">
              <a:solidFill>
                <a:schemeClr val="accent1"/>
              </a:solidFill>
              <a:round/>
            </a:ln>
            <a:effectLst/>
          </c:spPr>
          <c:marker>
            <c:symbol val="none"/>
          </c:marker>
          <c:dLbls>
            <c:dLbl>
              <c:idx val="1"/>
              <c:delete val="1"/>
              <c:extLst>
                <c:ext xmlns:c15="http://schemas.microsoft.com/office/drawing/2012/chart" uri="{CE6537A1-D6FC-4f65-9D91-7224C49458BB}"/>
                <c:ext xmlns:c16="http://schemas.microsoft.com/office/drawing/2014/chart" uri="{C3380CC4-5D6E-409C-BE32-E72D297353CC}">
                  <c16:uniqueId val="{00000001-345F-4D21-A95E-064342B3231F}"/>
                </c:ext>
              </c:extLst>
            </c:dLbl>
            <c:dLbl>
              <c:idx val="2"/>
              <c:delete val="1"/>
              <c:extLst>
                <c:ext xmlns:c15="http://schemas.microsoft.com/office/drawing/2012/chart" uri="{CE6537A1-D6FC-4f65-9D91-7224C49458BB}"/>
                <c:ext xmlns:c16="http://schemas.microsoft.com/office/drawing/2014/chart" uri="{C3380CC4-5D6E-409C-BE32-E72D297353CC}">
                  <c16:uniqueId val="{00000002-345F-4D21-A95E-064342B3231F}"/>
                </c:ext>
              </c:extLst>
            </c:dLbl>
            <c:dLbl>
              <c:idx val="3"/>
              <c:delete val="1"/>
              <c:extLst>
                <c:ext xmlns:c15="http://schemas.microsoft.com/office/drawing/2012/chart" uri="{CE6537A1-D6FC-4f65-9D91-7224C49458BB}"/>
                <c:ext xmlns:c16="http://schemas.microsoft.com/office/drawing/2014/chart" uri="{C3380CC4-5D6E-409C-BE32-E72D297353CC}">
                  <c16:uniqueId val="{00000003-345F-4D21-A95E-064342B3231F}"/>
                </c:ext>
              </c:extLst>
            </c:dLbl>
            <c:dLbl>
              <c:idx val="4"/>
              <c:delete val="1"/>
              <c:extLst>
                <c:ext xmlns:c15="http://schemas.microsoft.com/office/drawing/2012/chart" uri="{CE6537A1-D6FC-4f65-9D91-7224C49458BB}"/>
                <c:ext xmlns:c16="http://schemas.microsoft.com/office/drawing/2014/chart" uri="{C3380CC4-5D6E-409C-BE32-E72D297353CC}">
                  <c16:uniqueId val="{00000004-345F-4D21-A95E-064342B3231F}"/>
                </c:ext>
              </c:extLst>
            </c:dLbl>
            <c:dLbl>
              <c:idx val="5"/>
              <c:delete val="1"/>
              <c:extLst>
                <c:ext xmlns:c15="http://schemas.microsoft.com/office/drawing/2012/chart" uri="{CE6537A1-D6FC-4f65-9D91-7224C49458BB}"/>
                <c:ext xmlns:c16="http://schemas.microsoft.com/office/drawing/2014/chart" uri="{C3380CC4-5D6E-409C-BE32-E72D297353CC}">
                  <c16:uniqueId val="{00000005-345F-4D21-A95E-064342B3231F}"/>
                </c:ext>
              </c:extLst>
            </c:dLbl>
            <c:spPr>
              <a:solidFill>
                <a:srgbClr val="EAF0F6"/>
              </a:solid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solidFill>
                    <a:latin typeface="+mn-lt"/>
                    <a:ea typeface="+mn-ea"/>
                    <a:cs typeface="+mn-cs"/>
                  </a:defRPr>
                </a:pPr>
                <a:endParaRPr lang="ar-SA"/>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35000"/>
                          <a:lumOff val="65000"/>
                        </a:schemeClr>
                      </a:solidFill>
                    </a:ln>
                    <a:effectLst/>
                  </c:spPr>
                </c15:leaderLines>
              </c:ext>
            </c:extLst>
          </c:dLbls>
          <c:cat>
            <c:strRef>
              <c:f>'التقرير '!$F$116:$F$121</c:f>
              <c:strCache>
                <c:ptCount val="6"/>
                <c:pt idx="0">
                  <c:v>الاستثمار الأولي</c:v>
                </c:pt>
                <c:pt idx="1">
                  <c:v>السنة 1</c:v>
                </c:pt>
                <c:pt idx="2">
                  <c:v>السنة 2</c:v>
                </c:pt>
                <c:pt idx="3">
                  <c:v>السنة 3</c:v>
                </c:pt>
                <c:pt idx="4">
                  <c:v>السنة 4</c:v>
                </c:pt>
                <c:pt idx="5">
                  <c:v>السنة 5</c:v>
                </c:pt>
              </c:strCache>
            </c:strRef>
          </c:cat>
          <c:val>
            <c:numRef>
              <c:f>'التقرير '!$G$116:$G$121</c:f>
              <c:numCache>
                <c:formatCode>_(* #,##0_);_(* \(#,##0\);_(* "-"??_);_(@_)</c:formatCode>
                <c:ptCount val="6"/>
                <c:pt idx="0">
                  <c:v>1600000</c:v>
                </c:pt>
                <c:pt idx="1">
                  <c:v>1600000</c:v>
                </c:pt>
                <c:pt idx="2">
                  <c:v>1600000</c:v>
                </c:pt>
                <c:pt idx="3">
                  <c:v>1600000</c:v>
                </c:pt>
                <c:pt idx="4">
                  <c:v>1600000</c:v>
                </c:pt>
                <c:pt idx="5">
                  <c:v>1600000</c:v>
                </c:pt>
              </c:numCache>
            </c:numRef>
          </c:val>
          <c:smooth val="0"/>
          <c:extLst>
            <c:ext xmlns:c16="http://schemas.microsoft.com/office/drawing/2014/chart" uri="{C3380CC4-5D6E-409C-BE32-E72D297353CC}">
              <c16:uniqueId val="{00000000-B82C-4638-AA7C-A87BB72858C7}"/>
            </c:ext>
          </c:extLst>
        </c:ser>
        <c:ser>
          <c:idx val="1"/>
          <c:order val="1"/>
          <c:tx>
            <c:strRef>
              <c:f>'التقرير '!$H$105:$I$105</c:f>
              <c:strCache>
                <c:ptCount val="1"/>
                <c:pt idx="0">
                  <c:v>صافي التدفقات النقدية</c:v>
                </c:pt>
              </c:strCache>
            </c:strRef>
          </c:tx>
          <c:spPr>
            <a:ln w="22225" cap="rnd" cmpd="sng" algn="ctr">
              <a:solidFill>
                <a:schemeClr val="accent2"/>
              </a:solidFill>
              <a:round/>
            </a:ln>
            <a:effectLst/>
          </c:spPr>
          <c:marker>
            <c:symbol val="none"/>
          </c:marker>
          <c:dLbls>
            <c:spPr>
              <a:solidFill>
                <a:schemeClr val="bg1"/>
              </a:solid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dk1">
                        <a:lumMod val="65000"/>
                        <a:lumOff val="35000"/>
                      </a:schemeClr>
                    </a:solidFill>
                    <a:latin typeface="+mn-lt"/>
                    <a:ea typeface="+mn-ea"/>
                    <a:cs typeface="+mn-cs"/>
                  </a:defRPr>
                </a:pPr>
                <a:endParaRPr lang="ar-SA"/>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35000"/>
                          <a:lumOff val="65000"/>
                        </a:schemeClr>
                      </a:solidFill>
                    </a:ln>
                    <a:effectLst/>
                  </c:spPr>
                </c15:leaderLines>
              </c:ext>
            </c:extLst>
          </c:dLbls>
          <c:cat>
            <c:strRef>
              <c:f>'التقرير '!$F$116:$F$121</c:f>
              <c:strCache>
                <c:ptCount val="6"/>
                <c:pt idx="0">
                  <c:v>الاستثمار الأولي</c:v>
                </c:pt>
                <c:pt idx="1">
                  <c:v>السنة 1</c:v>
                </c:pt>
                <c:pt idx="2">
                  <c:v>السنة 2</c:v>
                </c:pt>
                <c:pt idx="3">
                  <c:v>السنة 3</c:v>
                </c:pt>
                <c:pt idx="4">
                  <c:v>السنة 4</c:v>
                </c:pt>
                <c:pt idx="5">
                  <c:v>السنة 5</c:v>
                </c:pt>
              </c:strCache>
            </c:strRef>
          </c:cat>
          <c:val>
            <c:numRef>
              <c:f>'التقرير '!$H$116:$H$121</c:f>
              <c:numCache>
                <c:formatCode>_(* #,##0_);_(* \(#,##0\);_(* "-"??_);_(@_)</c:formatCode>
                <c:ptCount val="6"/>
                <c:pt idx="1">
                  <c:v>-33398.683117474662</c:v>
                </c:pt>
                <c:pt idx="2">
                  <c:v>599443.50029282831</c:v>
                </c:pt>
                <c:pt idx="3">
                  <c:v>1865009.8849531324</c:v>
                </c:pt>
                <c:pt idx="4">
                  <c:v>3455374.3482245472</c:v>
                </c:pt>
                <c:pt idx="5">
                  <c:v>5415959.2789959628</c:v>
                </c:pt>
              </c:numCache>
            </c:numRef>
          </c:val>
          <c:smooth val="0"/>
          <c:extLst>
            <c:ext xmlns:c16="http://schemas.microsoft.com/office/drawing/2014/chart" uri="{C3380CC4-5D6E-409C-BE32-E72D297353CC}">
              <c16:uniqueId val="{00000000-F6BC-42C0-A4C1-8A2DC98992A3}"/>
            </c:ext>
          </c:extLst>
        </c:ser>
        <c:dLbls>
          <c:dLblPos val="t"/>
          <c:showLegendKey val="0"/>
          <c:showVal val="1"/>
          <c:showCatName val="0"/>
          <c:showSerName val="0"/>
          <c:showPercent val="0"/>
          <c:showBubbleSize val="0"/>
        </c:dLbls>
        <c:dropLines>
          <c:spPr>
            <a:ln w="9525" cap="flat" cmpd="sng" algn="ctr">
              <a:solidFill>
                <a:schemeClr val="dk1">
                  <a:lumMod val="35000"/>
                  <a:lumOff val="65000"/>
                  <a:alpha val="33000"/>
                </a:schemeClr>
              </a:solidFill>
              <a:round/>
            </a:ln>
            <a:effectLst/>
          </c:spPr>
        </c:dropLines>
        <c:hiLowLines>
          <c:spPr>
            <a:ln w="9525">
              <a:solidFill>
                <a:schemeClr val="dk1">
                  <a:lumMod val="35000"/>
                  <a:lumOff val="65000"/>
                </a:schemeClr>
              </a:solidFill>
            </a:ln>
            <a:effectLst/>
          </c:spPr>
        </c:hiLowLines>
        <c:smooth val="0"/>
        <c:axId val="51227504"/>
        <c:axId val="51229184"/>
      </c:lineChart>
      <c:catAx>
        <c:axId val="51227504"/>
        <c:scaling>
          <c:orientation val="maxMin"/>
        </c:scaling>
        <c:delete val="0"/>
        <c:axPos val="b"/>
        <c:numFmt formatCode="General" sourceLinked="0"/>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spc="20" baseline="0">
                <a:solidFill>
                  <a:schemeClr val="dk1">
                    <a:lumMod val="65000"/>
                    <a:lumOff val="35000"/>
                  </a:schemeClr>
                </a:solidFill>
                <a:latin typeface="+mn-lt"/>
                <a:ea typeface="+mn-ea"/>
                <a:cs typeface="+mn-cs"/>
              </a:defRPr>
            </a:pPr>
            <a:endParaRPr lang="ar-SA"/>
          </a:p>
        </c:txPr>
        <c:crossAx val="51229184"/>
        <c:crosses val="autoZero"/>
        <c:auto val="1"/>
        <c:lblAlgn val="ctr"/>
        <c:lblOffset val="100"/>
        <c:noMultiLvlLbl val="0"/>
      </c:catAx>
      <c:valAx>
        <c:axId val="51229184"/>
        <c:scaling>
          <c:orientation val="minMax"/>
        </c:scaling>
        <c:delete val="0"/>
        <c:axPos val="l"/>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spc="20" baseline="0">
                <a:solidFill>
                  <a:schemeClr val="dk1">
                    <a:lumMod val="65000"/>
                    <a:lumOff val="35000"/>
                  </a:schemeClr>
                </a:solidFill>
                <a:latin typeface="+mn-lt"/>
                <a:ea typeface="+mn-ea"/>
                <a:cs typeface="+mn-cs"/>
              </a:defRPr>
            </a:pPr>
            <a:endParaRPr lang="ar-SA"/>
          </a:p>
        </c:txPr>
        <c:crossAx val="51227504"/>
        <c:crosses val="max"/>
        <c:crossBetween val="between"/>
      </c:valAx>
      <c:spPr>
        <a:solidFill>
          <a:schemeClr val="bg1"/>
        </a:solid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chemeClr val="dk1">
                  <a:lumMod val="65000"/>
                  <a:lumOff val="35000"/>
                </a:schemeClr>
              </a:solidFill>
              <a:latin typeface="+mn-lt"/>
              <a:ea typeface="+mn-ea"/>
              <a:cs typeface="+mn-cs"/>
            </a:defRPr>
          </a:pPr>
          <a:endParaRPr lang="ar-SA"/>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10"/>
    </mc:Choice>
    <mc:Fallback>
      <c:style val="10"/>
    </mc:Fallback>
  </mc:AlternateContent>
  <c:chart>
    <c:title>
      <c:tx>
        <c:rich>
          <a:bodyPr/>
          <a:lstStyle/>
          <a:p>
            <a:pPr>
              <a:defRPr/>
            </a:pPr>
            <a:r>
              <a:rPr lang="ar-SA"/>
              <a:t>الدخل المتوقع لخمس</a:t>
            </a:r>
            <a:r>
              <a:rPr lang="ar-SA" baseline="0"/>
              <a:t> سنوات</a:t>
            </a:r>
            <a:endParaRPr lang="en-US"/>
          </a:p>
        </c:rich>
      </c:tx>
      <c:overlay val="0"/>
    </c:title>
    <c:autoTitleDeleted val="0"/>
    <c:plotArea>
      <c:layout/>
      <c:barChart>
        <c:barDir val="col"/>
        <c:grouping val="clustered"/>
        <c:varyColors val="0"/>
        <c:ser>
          <c:idx val="0"/>
          <c:order val="0"/>
          <c:tx>
            <c:strRef>
              <c:f>'التقرير '!$F$190</c:f>
              <c:strCache>
                <c:ptCount val="1"/>
                <c:pt idx="0">
                  <c:v>الإيرادات </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cap="flat" cmpd="sng" algn="ctr">
              <a:solidFill>
                <a:schemeClr val="accent2">
                  <a:shade val="95000"/>
                  <a:satMod val="105000"/>
                </a:schemeClr>
              </a:solidFill>
              <a:prstDash val="solid"/>
            </a:ln>
            <a:effectLst>
              <a:outerShdw blurRad="40000" dist="23000" dir="5400000" rotWithShape="0">
                <a:srgbClr val="000000">
                  <a:alpha val="35000"/>
                </a:srgbClr>
              </a:outerShdw>
            </a:effectLst>
          </c:spPr>
          <c:invertIfNegative val="1"/>
          <c:dLbls>
            <c:spPr>
              <a:gradFill>
                <a:gsLst>
                  <a:gs pos="0">
                    <a:srgbClr val="FBFCFE"/>
                  </a:gs>
                  <a:gs pos="100000">
                    <a:schemeClr val="accent6">
                      <a:lumMod val="20000"/>
                      <a:lumOff val="80000"/>
                    </a:schemeClr>
                  </a:gs>
                </a:gsLst>
                <a:lin ang="5400000" scaled="0"/>
              </a:gradFill>
              <a:ln>
                <a:noFill/>
              </a:ln>
              <a:effectLst/>
            </c:spPr>
            <c:txPr>
              <a:bodyPr wrap="square" lIns="38100" tIns="19050" rIns="38100" bIns="19050" anchor="ctr">
                <a:spAutoFit/>
              </a:bodyPr>
              <a:lstStyle/>
              <a:p>
                <a:pPr>
                  <a:defRPr b="1"/>
                </a:pPr>
                <a:endParaRPr lang="ar-SA"/>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'التقرير '!$G$189:$K$189</c:f>
              <c:numCache>
                <c:formatCode>General</c:formatCode>
                <c:ptCount val="5"/>
                <c:pt idx="0">
                  <c:v>2024</c:v>
                </c:pt>
                <c:pt idx="1">
                  <c:v>2025</c:v>
                </c:pt>
                <c:pt idx="2">
                  <c:v>2026</c:v>
                </c:pt>
                <c:pt idx="3">
                  <c:v>2027</c:v>
                </c:pt>
                <c:pt idx="4">
                  <c:v>2028</c:v>
                </c:pt>
              </c:numCache>
            </c:numRef>
          </c:cat>
          <c:val>
            <c:numRef>
              <c:f>'التقرير '!$G$190:$K$190</c:f>
              <c:numCache>
                <c:formatCode>_(* #,##0_);_(* \(#,##0\);_(* "-"??_);_(@_)</c:formatCode>
                <c:ptCount val="5"/>
                <c:pt idx="0">
                  <c:v>4317662</c:v>
                </c:pt>
                <c:pt idx="1">
                  <c:v>6499961</c:v>
                </c:pt>
                <c:pt idx="2">
                  <c:v>7999952</c:v>
                </c:pt>
                <c:pt idx="3">
                  <c:v>8999946</c:v>
                </c:pt>
                <c:pt idx="4">
                  <c:v>9999940</c:v>
                </c:pt>
              </c:numCache>
            </c:numRef>
          </c:val>
          <c:extLst>
            <c:ext xmlns:c16="http://schemas.microsoft.com/office/drawing/2014/chart" uri="{C3380CC4-5D6E-409C-BE32-E72D297353CC}">
              <c16:uniqueId val="{00000000-0077-4186-87CC-4F388F1060FB}"/>
            </c:ext>
          </c:extLst>
        </c:ser>
        <c:dLbls>
          <c:dLblPos val="inEnd"/>
          <c:showLegendKey val="0"/>
          <c:showVal val="1"/>
          <c:showCatName val="0"/>
          <c:showSerName val="0"/>
          <c:showPercent val="0"/>
          <c:showBubbleSize val="0"/>
        </c:dLbls>
        <c:gapWidth val="75"/>
        <c:axId val="51234784"/>
        <c:axId val="249133360"/>
      </c:barChart>
      <c:lineChart>
        <c:grouping val="standard"/>
        <c:varyColors val="0"/>
        <c:ser>
          <c:idx val="3"/>
          <c:order val="1"/>
          <c:tx>
            <c:strRef>
              <c:f>'التقرير '!$F$193</c:f>
              <c:strCache>
                <c:ptCount val="1"/>
                <c:pt idx="0">
                  <c:v>صافي الدخل</c:v>
                </c:pt>
              </c:strCache>
            </c:strRef>
          </c:tx>
          <c:spPr>
            <a:ln w="25400" cap="flat" cmpd="sng" algn="ctr">
              <a:solidFill>
                <a:schemeClr val="tx2">
                  <a:lumMod val="60000"/>
                  <a:lumOff val="40000"/>
                </a:schemeClr>
              </a:solidFill>
              <a:prstDash val="solid"/>
            </a:ln>
            <a:effectLst>
              <a:outerShdw blurRad="40000" dist="23000" dir="5400000" rotWithShape="0">
                <a:srgbClr val="000000">
                  <a:alpha val="35000"/>
                </a:srgbClr>
              </a:outerShdw>
            </a:effectLst>
          </c:spPr>
          <c:marker>
            <c:symbol val="circle"/>
            <c:size val="8"/>
            <c:spPr>
              <a:solidFill>
                <a:schemeClr val="tx2"/>
              </a:solidFill>
              <a:ln>
                <a:solidFill>
                  <a:schemeClr val="bg1"/>
                </a:solidFill>
              </a:ln>
            </c:spPr>
          </c:marker>
          <c:dLbls>
            <c:spPr>
              <a:gradFill>
                <a:gsLst>
                  <a:gs pos="0">
                    <a:schemeClr val="bg1"/>
                  </a:gs>
                  <a:gs pos="100000">
                    <a:schemeClr val="accent5">
                      <a:lumMod val="20000"/>
                      <a:lumOff val="80000"/>
                    </a:schemeClr>
                  </a:gs>
                </a:gsLst>
                <a:lin ang="5400000" scaled="0"/>
              </a:gradFill>
            </c:spPr>
            <c:txPr>
              <a:bodyPr wrap="square" lIns="38100" tIns="19050" rIns="38100" bIns="19050" anchor="ctr">
                <a:spAutoFit/>
              </a:bodyPr>
              <a:lstStyle/>
              <a:p>
                <a:pPr>
                  <a:defRPr b="1"/>
                </a:pPr>
                <a:endParaRPr lang="ar-SA"/>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'التقرير '!$G$189:$K$189</c:f>
              <c:numCache>
                <c:formatCode>General</c:formatCode>
                <c:ptCount val="5"/>
                <c:pt idx="0">
                  <c:v>2024</c:v>
                </c:pt>
                <c:pt idx="1">
                  <c:v>2025</c:v>
                </c:pt>
                <c:pt idx="2">
                  <c:v>2026</c:v>
                </c:pt>
                <c:pt idx="3">
                  <c:v>2027</c:v>
                </c:pt>
                <c:pt idx="4">
                  <c:v>2028</c:v>
                </c:pt>
              </c:numCache>
            </c:numRef>
          </c:cat>
          <c:val>
            <c:numRef>
              <c:f>'التقرير '!$G$193:$K$193</c:f>
              <c:numCache>
                <c:formatCode>_(* #,##0_);_(* \(#,##0\);_(* "-"??_);_(@_)</c:formatCode>
                <c:ptCount val="5"/>
                <c:pt idx="0">
                  <c:v>-219579.40000000037</c:v>
                </c:pt>
                <c:pt idx="1">
                  <c:v>789714.91963025427</c:v>
                </c:pt>
                <c:pt idx="2">
                  <c:v>1389550.4769957196</c:v>
                </c:pt>
                <c:pt idx="3">
                  <c:v>1694788.9948558032</c:v>
                </c:pt>
                <c:pt idx="4">
                  <c:v>2070436.2347302893</c:v>
                </c:pt>
              </c:numCache>
            </c:numRef>
          </c:val>
          <c:smooth val="0"/>
          <c:extLst>
            <c:ext xmlns:c16="http://schemas.microsoft.com/office/drawing/2014/chart" uri="{C3380CC4-5D6E-409C-BE32-E72D297353CC}">
              <c16:uniqueId val="{00000000-DCBF-4FAC-86FE-C39DA9AD3868}"/>
            </c:ext>
          </c:extLst>
        </c:ser>
        <c:dLbls>
          <c:showLegendKey val="0"/>
          <c:showVal val="0"/>
          <c:showCatName val="0"/>
          <c:showSerName val="0"/>
          <c:showPercent val="0"/>
          <c:showBubbleSize val="0"/>
        </c:dLbls>
        <c:marker val="1"/>
        <c:smooth val="0"/>
        <c:axId val="51234784"/>
        <c:axId val="249133360"/>
      </c:lineChart>
      <c:catAx>
        <c:axId val="51234784"/>
        <c:scaling>
          <c:orientation val="maxMin"/>
        </c:scaling>
        <c:delete val="0"/>
        <c:axPos val="b"/>
        <c:numFmt formatCode="General" sourceLinked="0"/>
        <c:majorTickMark val="none"/>
        <c:minorTickMark val="none"/>
        <c:tickLblPos val="nextTo"/>
        <c:spPr>
          <a:solidFill>
            <a:schemeClr val="bg1">
              <a:lumMod val="95000"/>
            </a:schemeClr>
          </a:solidFill>
        </c:spPr>
        <c:txPr>
          <a:bodyPr/>
          <a:lstStyle/>
          <a:p>
            <a:pPr>
              <a:defRPr sz="1100" b="1">
                <a:solidFill>
                  <a:sysClr val="windowText" lastClr="000000"/>
                </a:solidFill>
              </a:defRPr>
            </a:pPr>
            <a:endParaRPr lang="ar-SA"/>
          </a:p>
        </c:txPr>
        <c:crossAx val="249133360"/>
        <c:crosses val="autoZero"/>
        <c:auto val="1"/>
        <c:lblAlgn val="ctr"/>
        <c:lblOffset val="100"/>
        <c:noMultiLvlLbl val="0"/>
      </c:catAx>
      <c:valAx>
        <c:axId val="249133360"/>
        <c:scaling>
          <c:orientation val="minMax"/>
        </c:scaling>
        <c:delete val="0"/>
        <c:axPos val="l"/>
        <c:majorGridlines/>
        <c:numFmt formatCode="_(* #,##0_);_(* \(#,##0\);_(* &quot;-&quot;??_);_(@_)\ &quot;K&quot;" sourceLinked="0"/>
        <c:majorTickMark val="none"/>
        <c:minorTickMark val="none"/>
        <c:tickLblPos val="nextTo"/>
        <c:crossAx val="51234784"/>
        <c:crosses val="max"/>
        <c:crossBetween val="between"/>
        <c:dispUnits>
          <c:builtInUnit val="thousands"/>
          <c:dispUnitsLbl>
            <c:tx>
              <c:rich>
                <a:bodyPr/>
                <a:lstStyle/>
                <a:p>
                  <a:pPr>
                    <a:defRPr/>
                  </a:pPr>
                  <a:r>
                    <a:rPr lang="ar-SA"/>
                    <a:t>"الاف"</a:t>
                  </a:r>
                  <a:endParaRPr lang="en-US"/>
                </a:p>
              </c:rich>
            </c:tx>
          </c:dispUnitsLbl>
        </c:dispUnits>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المبيعات ومجمل الربح</a:t>
            </a:r>
            <a:endParaRPr lang="en-US"/>
          </a:p>
        </c:rich>
      </c:tx>
      <c:layout>
        <c:manualLayout>
          <c:xMode val="edge"/>
          <c:yMode val="edge"/>
          <c:x val="0.75776900400497393"/>
          <c:y val="2.8624344492149748E-2"/>
        </c:manualLayout>
      </c:layout>
      <c:overlay val="1"/>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
          <c:y val="7.4016797900262471E-2"/>
          <c:w val="0.94136372921038358"/>
          <c:h val="0.73175275590551181"/>
        </c:manualLayout>
      </c:layout>
      <c:bar3DChart>
        <c:barDir val="col"/>
        <c:grouping val="clustered"/>
        <c:varyColors val="0"/>
        <c:ser>
          <c:idx val="0"/>
          <c:order val="0"/>
          <c:tx>
            <c:strRef>
              <c:f>'التقرير '!$D$350</c:f>
              <c:strCache>
                <c:ptCount val="1"/>
                <c:pt idx="0">
                  <c:v>الإيرادات السنوية</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invertIfNegative val="0"/>
          <c:dLbls>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'التقرير '!$H$283:$L$283</c:f>
              <c:numCache>
                <c:formatCode>General</c:formatCode>
                <c:ptCount val="5"/>
                <c:pt idx="0">
                  <c:v>2024</c:v>
                </c:pt>
                <c:pt idx="1">
                  <c:v>2025</c:v>
                </c:pt>
                <c:pt idx="2">
                  <c:v>2026</c:v>
                </c:pt>
                <c:pt idx="3">
                  <c:v>2027</c:v>
                </c:pt>
                <c:pt idx="4">
                  <c:v>2028</c:v>
                </c:pt>
              </c:numCache>
            </c:numRef>
          </c:cat>
          <c:val>
            <c:numRef>
              <c:f>'التقرير '!$E$350:$I$350</c:f>
              <c:numCache>
                <c:formatCode>_(* #,##0_);_(* \(#,##0\);_(* "-"??_);_(@_)</c:formatCode>
                <c:ptCount val="5"/>
                <c:pt idx="0">
                  <c:v>4317662</c:v>
                </c:pt>
                <c:pt idx="1">
                  <c:v>6499961</c:v>
                </c:pt>
                <c:pt idx="2">
                  <c:v>7999952</c:v>
                </c:pt>
                <c:pt idx="3">
                  <c:v>8999946</c:v>
                </c:pt>
                <c:pt idx="4">
                  <c:v>9999940</c:v>
                </c:pt>
              </c:numCache>
            </c:numRef>
          </c:val>
          <c:extLst>
            <c:ext xmlns:c16="http://schemas.microsoft.com/office/drawing/2014/chart" uri="{C3380CC4-5D6E-409C-BE32-E72D297353CC}">
              <c16:uniqueId val="{00000000-D867-4F1B-90D2-76C5C0077243}"/>
            </c:ext>
          </c:extLst>
        </c:ser>
        <c:ser>
          <c:idx val="1"/>
          <c:order val="1"/>
          <c:tx>
            <c:strRef>
              <c:f>'التقرير '!$D$357</c:f>
              <c:strCache>
                <c:ptCount val="1"/>
                <c:pt idx="0">
                  <c:v>التكلفة </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invertIfNegative val="0"/>
          <c:dLbls>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'التقرير '!$H$283:$L$283</c:f>
              <c:numCache>
                <c:formatCode>General</c:formatCode>
                <c:ptCount val="5"/>
                <c:pt idx="0">
                  <c:v>2024</c:v>
                </c:pt>
                <c:pt idx="1">
                  <c:v>2025</c:v>
                </c:pt>
                <c:pt idx="2">
                  <c:v>2026</c:v>
                </c:pt>
                <c:pt idx="3">
                  <c:v>2027</c:v>
                </c:pt>
                <c:pt idx="4">
                  <c:v>2028</c:v>
                </c:pt>
              </c:numCache>
            </c:numRef>
          </c:cat>
          <c:val>
            <c:numRef>
              <c:f>'التقرير '!$E$357:$I$357</c:f>
              <c:numCache>
                <c:formatCode>_(* #,##0_);_(* \(#,##0\);_(* "-"??_);_(@_)</c:formatCode>
                <c:ptCount val="5"/>
                <c:pt idx="0">
                  <c:v>1827441.4000000001</c:v>
                </c:pt>
                <c:pt idx="1">
                  <c:v>2751324.55</c:v>
                </c:pt>
                <c:pt idx="2">
                  <c:v>3386245.6</c:v>
                </c:pt>
                <c:pt idx="3">
                  <c:v>3809526.3</c:v>
                </c:pt>
                <c:pt idx="4">
                  <c:v>4232807</c:v>
                </c:pt>
              </c:numCache>
            </c:numRef>
          </c:val>
          <c:extLst>
            <c:ext xmlns:c16="http://schemas.microsoft.com/office/drawing/2014/chart" uri="{C3380CC4-5D6E-409C-BE32-E72D297353CC}">
              <c16:uniqueId val="{00000001-D867-4F1B-90D2-76C5C0077243}"/>
            </c:ext>
          </c:extLst>
        </c:ser>
        <c:ser>
          <c:idx val="2"/>
          <c:order val="2"/>
          <c:tx>
            <c:strRef>
              <c:f>'التقرير '!$D$358</c:f>
              <c:strCache>
                <c:ptCount val="1"/>
                <c:pt idx="0">
                  <c:v>مجمل الربح</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invertIfNegative val="0"/>
          <c:dLbls>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'التقرير '!$H$283:$L$283</c:f>
              <c:numCache>
                <c:formatCode>General</c:formatCode>
                <c:ptCount val="5"/>
                <c:pt idx="0">
                  <c:v>2024</c:v>
                </c:pt>
                <c:pt idx="1">
                  <c:v>2025</c:v>
                </c:pt>
                <c:pt idx="2">
                  <c:v>2026</c:v>
                </c:pt>
                <c:pt idx="3">
                  <c:v>2027</c:v>
                </c:pt>
                <c:pt idx="4">
                  <c:v>2028</c:v>
                </c:pt>
              </c:numCache>
            </c:numRef>
          </c:cat>
          <c:val>
            <c:numRef>
              <c:f>'التقرير '!$E$358:$I$358</c:f>
              <c:numCache>
                <c:formatCode>_(* #,##0_);_(* \(#,##0\);_(* "-"??_);_(@_)</c:formatCode>
                <c:ptCount val="5"/>
                <c:pt idx="0">
                  <c:v>2490220.5999999996</c:v>
                </c:pt>
                <c:pt idx="1">
                  <c:v>3748636.45</c:v>
                </c:pt>
                <c:pt idx="2">
                  <c:v>4613706.4000000004</c:v>
                </c:pt>
                <c:pt idx="3">
                  <c:v>5190419.7</c:v>
                </c:pt>
                <c:pt idx="4">
                  <c:v>5767133</c:v>
                </c:pt>
              </c:numCache>
            </c:numRef>
          </c:val>
          <c:extLst>
            <c:ext xmlns:c16="http://schemas.microsoft.com/office/drawing/2014/chart" uri="{C3380CC4-5D6E-409C-BE32-E72D297353CC}">
              <c16:uniqueId val="{00000002-D867-4F1B-90D2-76C5C0077243}"/>
            </c:ext>
          </c:extLst>
        </c:ser>
        <c:dLbls>
          <c:showLegendKey val="0"/>
          <c:showVal val="1"/>
          <c:showCatName val="0"/>
          <c:showSerName val="0"/>
          <c:showPercent val="0"/>
          <c:showBubbleSize val="0"/>
        </c:dLbls>
        <c:gapWidth val="150"/>
        <c:shape val="box"/>
        <c:axId val="249137280"/>
        <c:axId val="249137840"/>
        <c:axId val="0"/>
      </c:bar3DChart>
      <c:catAx>
        <c:axId val="249137280"/>
        <c:scaling>
          <c:orientation val="maxMin"/>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ar-SA"/>
          </a:p>
        </c:txPr>
        <c:crossAx val="249137840"/>
        <c:crosses val="autoZero"/>
        <c:auto val="1"/>
        <c:lblAlgn val="ctr"/>
        <c:lblOffset val="100"/>
        <c:tickLblSkip val="1"/>
        <c:noMultiLvlLbl val="0"/>
      </c:catAx>
      <c:valAx>
        <c:axId val="249137840"/>
        <c:scaling>
          <c:orientation val="minMax"/>
        </c:scaling>
        <c:delete val="0"/>
        <c:axPos val="r"/>
        <c:majorGridlines>
          <c:spPr>
            <a:ln w="9525" cap="flat" cmpd="sng" algn="ctr">
              <a:solidFill>
                <a:schemeClr val="tx2">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0" spcFirstLastPara="1" vertOverflow="ellipsis" wrap="square" anchor="ctr" anchorCtr="1"/>
          <a:lstStyle/>
          <a:p>
            <a:pPr>
              <a:defRPr sz="900" b="1" i="0" u="none" strike="noStrike" kern="1200" baseline="0">
                <a:solidFill>
                  <a:schemeClr val="tx2"/>
                </a:solidFill>
                <a:latin typeface="+mn-lt"/>
                <a:ea typeface="+mn-ea"/>
                <a:cs typeface="+mn-cs"/>
              </a:defRPr>
            </a:pPr>
            <a:endParaRPr lang="ar-SA"/>
          </a:p>
        </c:txPr>
        <c:crossAx val="249137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ar-SA"/>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مجمل الربح سنويا</a:t>
            </a:r>
            <a:endParaRPr lang="en-US"/>
          </a:p>
        </c:rich>
      </c:tx>
      <c:layout>
        <c:manualLayout>
          <c:xMode val="edge"/>
          <c:yMode val="edge"/>
          <c:x val="0.87852236683472973"/>
          <c:y val="1.8140581795597639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manualLayout>
          <c:layoutTarget val="inner"/>
          <c:xMode val="edge"/>
          <c:yMode val="edge"/>
          <c:x val="5.3615961327111626E-2"/>
          <c:y val="0.1455141651611325"/>
          <c:w val="0.83858316546174816"/>
          <c:h val="0.53496109765397537"/>
        </c:manualLayout>
      </c:layout>
      <c:barChart>
        <c:barDir val="col"/>
        <c:grouping val="clustered"/>
        <c:varyColors val="0"/>
        <c:ser>
          <c:idx val="2"/>
          <c:order val="0"/>
          <c:tx>
            <c:strRef>
              <c:f>'التقرير '!$W$283</c:f>
              <c:strCache>
                <c:ptCount val="1"/>
                <c:pt idx="0">
                  <c:v>2024</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'!$V$284:$V$293</c:f>
              <c:strCache>
                <c:ptCount val="7"/>
                <c:pt idx="0">
                  <c:v>صنف 1</c:v>
                </c:pt>
                <c:pt idx="1">
                  <c:v>صنف 2</c:v>
                </c:pt>
                <c:pt idx="2">
                  <c:v>صنف 3</c:v>
                </c:pt>
                <c:pt idx="3">
                  <c:v>صنف 4</c:v>
                </c:pt>
                <c:pt idx="4">
                  <c:v>صنف 5</c:v>
                </c:pt>
                <c:pt idx="5">
                  <c:v>صنف 6</c:v>
                </c:pt>
                <c:pt idx="6">
                  <c:v>صنف 7</c:v>
                </c:pt>
              </c:strCache>
            </c:strRef>
          </c:cat>
          <c:val>
            <c:numRef>
              <c:f>'التقرير '!$W$284:$W$293</c:f>
              <c:numCache>
                <c:formatCode>_(* #,##0_);_(* \(#,##0\);_(* "-"??_);_(@_)</c:formatCode>
                <c:ptCount val="7"/>
                <c:pt idx="0">
                  <c:v>235600</c:v>
                </c:pt>
                <c:pt idx="1">
                  <c:v>241200</c:v>
                </c:pt>
                <c:pt idx="2">
                  <c:v>180000</c:v>
                </c:pt>
                <c:pt idx="3">
                  <c:v>297000</c:v>
                </c:pt>
                <c:pt idx="4">
                  <c:v>849063.60000000009</c:v>
                </c:pt>
                <c:pt idx="5">
                  <c:v>606474</c:v>
                </c:pt>
                <c:pt idx="6">
                  <c:v>80883</c:v>
                </c:pt>
              </c:numCache>
            </c:numRef>
          </c:val>
          <c:extLst>
            <c:ext xmlns:c16="http://schemas.microsoft.com/office/drawing/2014/chart" uri="{C3380CC4-5D6E-409C-BE32-E72D297353CC}">
              <c16:uniqueId val="{0000000B-B4C0-467B-9D03-A9FC7CC1296A}"/>
            </c:ext>
          </c:extLst>
        </c:ser>
        <c:ser>
          <c:idx val="1"/>
          <c:order val="1"/>
          <c:tx>
            <c:strRef>
              <c:f>'التقرير '!$X$283</c:f>
              <c:strCache>
                <c:ptCount val="1"/>
                <c:pt idx="0">
                  <c:v>2025</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'!$V$284:$V$293</c:f>
              <c:strCache>
                <c:ptCount val="7"/>
                <c:pt idx="0">
                  <c:v>صنف 1</c:v>
                </c:pt>
                <c:pt idx="1">
                  <c:v>صنف 2</c:v>
                </c:pt>
                <c:pt idx="2">
                  <c:v>صنف 3</c:v>
                </c:pt>
                <c:pt idx="3">
                  <c:v>صنف 4</c:v>
                </c:pt>
                <c:pt idx="4">
                  <c:v>صنف 5</c:v>
                </c:pt>
                <c:pt idx="5">
                  <c:v>صنف 6</c:v>
                </c:pt>
                <c:pt idx="6">
                  <c:v>صنف 7</c:v>
                </c:pt>
              </c:strCache>
            </c:strRef>
          </c:cat>
          <c:val>
            <c:numRef>
              <c:f>'التقرير '!$X$284:$X$293</c:f>
              <c:numCache>
                <c:formatCode>_(* #,##0_);_(* \(#,##0\);_(* "-"??_);_(@_)</c:formatCode>
                <c:ptCount val="7"/>
                <c:pt idx="0">
                  <c:v>395866.9</c:v>
                </c:pt>
                <c:pt idx="1">
                  <c:v>640185</c:v>
                </c:pt>
                <c:pt idx="2">
                  <c:v>318630.00000000006</c:v>
                </c:pt>
                <c:pt idx="3">
                  <c:v>578184.75</c:v>
                </c:pt>
                <c:pt idx="4">
                  <c:v>1003438.8</c:v>
                </c:pt>
                <c:pt idx="5">
                  <c:v>716742</c:v>
                </c:pt>
                <c:pt idx="6">
                  <c:v>95589.000000000015</c:v>
                </c:pt>
              </c:numCache>
            </c:numRef>
          </c:val>
          <c:extLst>
            <c:ext xmlns:c16="http://schemas.microsoft.com/office/drawing/2014/chart" uri="{C3380CC4-5D6E-409C-BE32-E72D297353CC}">
              <c16:uniqueId val="{0000000A-B4C0-467B-9D03-A9FC7CC1296A}"/>
            </c:ext>
          </c:extLst>
        </c:ser>
        <c:ser>
          <c:idx val="0"/>
          <c:order val="2"/>
          <c:tx>
            <c:strRef>
              <c:f>'التقرير '!$Y$283</c:f>
              <c:strCache>
                <c:ptCount val="1"/>
                <c:pt idx="0">
                  <c:v>2026</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Pt>
            <c:idx val="0"/>
            <c:invertIfNegative val="0"/>
            <c:bubble3D val="0"/>
            <c:extLst>
              <c:ext xmlns:c16="http://schemas.microsoft.com/office/drawing/2014/chart" uri="{C3380CC4-5D6E-409C-BE32-E72D297353CC}">
                <c16:uniqueId val="{00000001-15CD-4996-BA4E-2A12D4B72589}"/>
              </c:ext>
            </c:extLst>
          </c:dPt>
          <c:dPt>
            <c:idx val="1"/>
            <c:invertIfNegative val="0"/>
            <c:bubble3D val="0"/>
            <c:extLst>
              <c:ext xmlns:c16="http://schemas.microsoft.com/office/drawing/2014/chart" uri="{C3380CC4-5D6E-409C-BE32-E72D297353CC}">
                <c16:uniqueId val="{00000003-15CD-4996-BA4E-2A12D4B72589}"/>
              </c:ext>
            </c:extLst>
          </c:dPt>
          <c:dPt>
            <c:idx val="2"/>
            <c:invertIfNegative val="0"/>
            <c:bubble3D val="0"/>
            <c:extLst>
              <c:ext xmlns:c16="http://schemas.microsoft.com/office/drawing/2014/chart" uri="{C3380CC4-5D6E-409C-BE32-E72D297353CC}">
                <c16:uniqueId val="{00000005-15CD-4996-BA4E-2A12D4B72589}"/>
              </c:ext>
            </c:extLst>
          </c:dPt>
          <c:dPt>
            <c:idx val="3"/>
            <c:invertIfNegative val="0"/>
            <c:bubble3D val="0"/>
            <c:extLst>
              <c:ext xmlns:c16="http://schemas.microsoft.com/office/drawing/2014/chart" uri="{C3380CC4-5D6E-409C-BE32-E72D297353CC}">
                <c16:uniqueId val="{00000007-15CD-4996-BA4E-2A12D4B72589}"/>
              </c:ext>
            </c:extLst>
          </c:dPt>
          <c:dPt>
            <c:idx val="4"/>
            <c:invertIfNegative val="0"/>
            <c:bubble3D val="0"/>
            <c:extLst>
              <c:ext xmlns:c16="http://schemas.microsoft.com/office/drawing/2014/chart" uri="{C3380CC4-5D6E-409C-BE32-E72D297353CC}">
                <c16:uniqueId val="{00000009-15CD-4996-BA4E-2A12D4B72589}"/>
              </c:ext>
            </c:extLst>
          </c:dPt>
          <c:dPt>
            <c:idx val="5"/>
            <c:invertIfNegative val="0"/>
            <c:bubble3D val="0"/>
            <c:extLst>
              <c:ext xmlns:c16="http://schemas.microsoft.com/office/drawing/2014/chart" uri="{C3380CC4-5D6E-409C-BE32-E72D297353CC}">
                <c16:uniqueId val="{0000000B-15CD-4996-BA4E-2A12D4B72589}"/>
              </c:ext>
            </c:extLst>
          </c:dPt>
          <c:dPt>
            <c:idx val="6"/>
            <c:invertIfNegative val="0"/>
            <c:bubble3D val="0"/>
            <c:extLst>
              <c:ext xmlns:c16="http://schemas.microsoft.com/office/drawing/2014/chart" uri="{C3380CC4-5D6E-409C-BE32-E72D297353CC}">
                <c16:uniqueId val="{0000000D-15CD-4996-BA4E-2A12D4B72589}"/>
              </c:ext>
            </c:extLst>
          </c:dPt>
          <c:dPt>
            <c:idx val="7"/>
            <c:invertIfNegative val="0"/>
            <c:bubble3D val="0"/>
            <c:extLst>
              <c:ext xmlns:c16="http://schemas.microsoft.com/office/drawing/2014/chart" uri="{C3380CC4-5D6E-409C-BE32-E72D297353CC}">
                <c16:uniqueId val="{0000000F-15CD-4996-BA4E-2A12D4B72589}"/>
              </c:ext>
            </c:extLst>
          </c:dPt>
          <c:dPt>
            <c:idx val="8"/>
            <c:invertIfNegative val="0"/>
            <c:bubble3D val="0"/>
            <c:extLst>
              <c:ext xmlns:c16="http://schemas.microsoft.com/office/drawing/2014/chart" uri="{C3380CC4-5D6E-409C-BE32-E72D297353CC}">
                <c16:uniqueId val="{00000011-15CD-4996-BA4E-2A12D4B72589}"/>
              </c:ext>
            </c:extLst>
          </c:dPt>
          <c:dPt>
            <c:idx val="9"/>
            <c:invertIfNegative val="0"/>
            <c:bubble3D val="0"/>
            <c:extLst>
              <c:ext xmlns:c16="http://schemas.microsoft.com/office/drawing/2014/chart" uri="{C3380CC4-5D6E-409C-BE32-E72D297353CC}">
                <c16:uniqueId val="{00000013-15CD-4996-BA4E-2A12D4B72589}"/>
              </c:ext>
            </c:extLst>
          </c:dPt>
          <c:cat>
            <c:strRef>
              <c:f>'التقرير '!$V$284:$V$293</c:f>
              <c:strCache>
                <c:ptCount val="7"/>
                <c:pt idx="0">
                  <c:v>صنف 1</c:v>
                </c:pt>
                <c:pt idx="1">
                  <c:v>صنف 2</c:v>
                </c:pt>
                <c:pt idx="2">
                  <c:v>صنف 3</c:v>
                </c:pt>
                <c:pt idx="3">
                  <c:v>صنف 4</c:v>
                </c:pt>
                <c:pt idx="4">
                  <c:v>صنف 5</c:v>
                </c:pt>
                <c:pt idx="5">
                  <c:v>صنف 6</c:v>
                </c:pt>
                <c:pt idx="6">
                  <c:v>صنف 7</c:v>
                </c:pt>
              </c:strCache>
            </c:strRef>
          </c:cat>
          <c:val>
            <c:numRef>
              <c:f>'التقرير '!$Y$284:$Y$293</c:f>
              <c:numCache>
                <c:formatCode>_(* #,##0_);_(* \(#,##0\);_(* "-"??_);_(@_)</c:formatCode>
                <c:ptCount val="7"/>
                <c:pt idx="0">
                  <c:v>487220.8</c:v>
                </c:pt>
                <c:pt idx="1">
                  <c:v>787920</c:v>
                </c:pt>
                <c:pt idx="2">
                  <c:v>392160</c:v>
                </c:pt>
                <c:pt idx="3">
                  <c:v>711612</c:v>
                </c:pt>
                <c:pt idx="4">
                  <c:v>1235001.6000000001</c:v>
                </c:pt>
                <c:pt idx="5">
                  <c:v>882144</c:v>
                </c:pt>
                <c:pt idx="6">
                  <c:v>117648</c:v>
                </c:pt>
              </c:numCache>
            </c:numRef>
          </c:val>
          <c:extLst>
            <c:ext xmlns:c16="http://schemas.microsoft.com/office/drawing/2014/chart" uri="{C3380CC4-5D6E-409C-BE32-E72D297353CC}">
              <c16:uniqueId val="{00000014-15CD-4996-BA4E-2A12D4B72589}"/>
            </c:ext>
          </c:extLst>
        </c:ser>
        <c:ser>
          <c:idx val="3"/>
          <c:order val="3"/>
          <c:tx>
            <c:strRef>
              <c:f>'التقرير '!$Z$283</c:f>
              <c:strCache>
                <c:ptCount val="1"/>
                <c:pt idx="0">
                  <c:v>2027</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invertIfNegative val="0"/>
          <c:val>
            <c:numRef>
              <c:f>'التقرير '!$Z$284:$Z$293</c:f>
              <c:numCache>
                <c:formatCode>_(* #,##0_);_(* \(#,##0\);_(* "-"??_);_(@_)</c:formatCode>
                <c:ptCount val="7"/>
                <c:pt idx="0">
                  <c:v>548123.4</c:v>
                </c:pt>
                <c:pt idx="1">
                  <c:v>886410</c:v>
                </c:pt>
                <c:pt idx="2">
                  <c:v>441180</c:v>
                </c:pt>
                <c:pt idx="3">
                  <c:v>800563.5</c:v>
                </c:pt>
                <c:pt idx="4">
                  <c:v>1389376.8</c:v>
                </c:pt>
                <c:pt idx="5">
                  <c:v>992412.00000000012</c:v>
                </c:pt>
                <c:pt idx="6">
                  <c:v>132354</c:v>
                </c:pt>
              </c:numCache>
            </c:numRef>
          </c:val>
          <c:extLst>
            <c:ext xmlns:c16="http://schemas.microsoft.com/office/drawing/2014/chart" uri="{C3380CC4-5D6E-409C-BE32-E72D297353CC}">
              <c16:uniqueId val="{0000000D-612D-4EE9-80A1-76295C2FFDE0}"/>
            </c:ext>
          </c:extLst>
        </c:ser>
        <c:ser>
          <c:idx val="4"/>
          <c:order val="4"/>
          <c:tx>
            <c:strRef>
              <c:f>'التقرير '!$AA$283</c:f>
              <c:strCache>
                <c:ptCount val="1"/>
                <c:pt idx="0">
                  <c:v>2028</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invertIfNegative val="0"/>
          <c:val>
            <c:numRef>
              <c:f>'التقرير '!$AA$284:$AA$293</c:f>
              <c:numCache>
                <c:formatCode>_(* #,##0_);_(* \(#,##0\);_(* "-"??_);_(@_)</c:formatCode>
                <c:ptCount val="7"/>
                <c:pt idx="0">
                  <c:v>609026</c:v>
                </c:pt>
                <c:pt idx="1">
                  <c:v>984900</c:v>
                </c:pt>
                <c:pt idx="2">
                  <c:v>490200</c:v>
                </c:pt>
                <c:pt idx="3">
                  <c:v>889515</c:v>
                </c:pt>
                <c:pt idx="4">
                  <c:v>1543752</c:v>
                </c:pt>
                <c:pt idx="5">
                  <c:v>1102680</c:v>
                </c:pt>
                <c:pt idx="6">
                  <c:v>147060</c:v>
                </c:pt>
              </c:numCache>
            </c:numRef>
          </c:val>
          <c:extLst>
            <c:ext xmlns:c16="http://schemas.microsoft.com/office/drawing/2014/chart" uri="{C3380CC4-5D6E-409C-BE32-E72D297353CC}">
              <c16:uniqueId val="{0000000E-612D-4EE9-80A1-76295C2FFDE0}"/>
            </c:ext>
          </c:extLst>
        </c:ser>
        <c:dLbls>
          <c:showLegendKey val="0"/>
          <c:showVal val="0"/>
          <c:showCatName val="0"/>
          <c:showSerName val="0"/>
          <c:showPercent val="0"/>
          <c:showBubbleSize val="0"/>
        </c:dLbls>
        <c:gapWidth val="100"/>
        <c:overlap val="-24"/>
        <c:axId val="249142880"/>
        <c:axId val="249143440"/>
      </c:barChart>
      <c:catAx>
        <c:axId val="249142880"/>
        <c:scaling>
          <c:orientation val="maxMin"/>
        </c:scaling>
        <c:delete val="0"/>
        <c:axPos val="b"/>
        <c:numFmt formatCode="General" sourceLinked="0"/>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ar-SA"/>
          </a:p>
        </c:txPr>
        <c:crossAx val="249143440"/>
        <c:crosses val="autoZero"/>
        <c:auto val="1"/>
        <c:lblAlgn val="ctr"/>
        <c:lblOffset val="100"/>
        <c:noMultiLvlLbl val="0"/>
      </c:catAx>
      <c:valAx>
        <c:axId val="249143440"/>
        <c:scaling>
          <c:orientation val="minMax"/>
        </c:scaling>
        <c:delete val="0"/>
        <c:axPos val="r"/>
        <c:majorGridlines>
          <c:spPr>
            <a:ln w="9525" cap="flat" cmpd="sng" algn="ctr">
              <a:solidFill>
                <a:schemeClr val="tx2">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ar-SA"/>
          </a:p>
        </c:txPr>
        <c:crossAx val="249142880"/>
        <c:crosses val="autoZero"/>
        <c:crossBetween val="between"/>
      </c:valAx>
      <c:dTable>
        <c:showHorzBorder val="1"/>
        <c:showVertBorder val="1"/>
        <c:showOutline val="1"/>
        <c:showKeys val="1"/>
        <c:spPr>
          <a:noFill/>
          <a:ln w="9525">
            <a:solidFill>
              <a:schemeClr val="tx2">
                <a:lumMod val="15000"/>
                <a:lumOff val="85000"/>
              </a:schemeClr>
            </a:solidFill>
          </a:ln>
          <a:effectLst/>
        </c:spPr>
        <c:txPr>
          <a:bodyPr rot="0" spcFirstLastPara="1" vertOverflow="ellipsis" vert="horz" wrap="square" anchor="ctr" anchorCtr="1"/>
          <a:lstStyle/>
          <a:p>
            <a:pPr rtl="0">
              <a:defRPr sz="900" b="0" i="0" u="none" strike="noStrike" kern="1200" baseline="0">
                <a:solidFill>
                  <a:schemeClr val="tx2"/>
                </a:solidFill>
                <a:latin typeface="+mn-lt"/>
                <a:ea typeface="+mn-ea"/>
                <a:cs typeface="+mn-cs"/>
              </a:defRPr>
            </a:pPr>
            <a:endParaRPr lang="ar-SA"/>
          </a:p>
        </c:txPr>
      </c:dTable>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الأصول</a:t>
            </a:r>
            <a:r>
              <a:rPr lang="ar-SA" baseline="0"/>
              <a:t> الثابتة</a:t>
            </a:r>
            <a:endParaRPr lang="en-US"/>
          </a:p>
        </c:rich>
      </c:tx>
      <c:layout>
        <c:manualLayout>
          <c:xMode val="edge"/>
          <c:yMode val="edge"/>
          <c:x val="0.8952789243768875"/>
          <c:y val="2.435542935774836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1-0318-4C5B-9A96-20F4971D1594}"/>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3-0318-4C5B-9A96-20F4971D1594}"/>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5-0318-4C5B-9A96-20F4971D1594}"/>
              </c:ext>
            </c:extLst>
          </c:dPt>
          <c:dPt>
            <c:idx val="3"/>
            <c:bubble3D val="0"/>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7-ED6B-45DA-BFBF-AD80202DAB51}"/>
              </c:ext>
            </c:extLst>
          </c:dPt>
          <c:dPt>
            <c:idx val="4"/>
            <c:bubble3D val="0"/>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9-29D5-4626-8B5B-917709D319E6}"/>
              </c:ext>
            </c:extLst>
          </c:dPt>
          <c:dLbls>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0"/>
            <c:showCatName val="1"/>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'التقرير '!$P$127:$P$131</c:f>
              <c:strCache>
                <c:ptCount val="5"/>
                <c:pt idx="0">
                  <c:v>كمبيوترات و برامج محاسبية </c:v>
                </c:pt>
                <c:pt idx="1">
                  <c:v>اثاث و ديكور</c:v>
                </c:pt>
                <c:pt idx="2">
                  <c:v>سيارات</c:v>
                </c:pt>
                <c:pt idx="3">
                  <c:v>الات و معدات </c:v>
                </c:pt>
                <c:pt idx="4">
                  <c:v>تطبيقات ومواقع الكترونية</c:v>
                </c:pt>
              </c:strCache>
            </c:strRef>
          </c:cat>
          <c:val>
            <c:numRef>
              <c:f>'التقرير '!$S$127:$S$131</c:f>
              <c:numCache>
                <c:formatCode>_(* #,##0.00_);_(* \(#,##0.00\);_(* "-"??_);_(@_)</c:formatCode>
                <c:ptCount val="5"/>
                <c:pt idx="0">
                  <c:v>9000</c:v>
                </c:pt>
                <c:pt idx="1">
                  <c:v>300000</c:v>
                </c:pt>
                <c:pt idx="2">
                  <c:v>100000</c:v>
                </c:pt>
                <c:pt idx="3">
                  <c:v>4000</c:v>
                </c:pt>
                <c:pt idx="4">
                  <c:v>30000</c:v>
                </c:pt>
              </c:numCache>
            </c:numRef>
          </c:val>
          <c:extLst>
            <c:ext xmlns:c16="http://schemas.microsoft.com/office/drawing/2014/chart" uri="{C3380CC4-5D6E-409C-BE32-E72D297353CC}">
              <c16:uniqueId val="{00000000-7355-4D4C-8B4D-B4F3F1C313D1}"/>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المصاريف</a:t>
            </a:r>
          </a:p>
        </c:rich>
      </c:tx>
      <c:layout>
        <c:manualLayout>
          <c:xMode val="edge"/>
          <c:yMode val="edge"/>
          <c:x val="0.82365479620925552"/>
          <c:y val="2.3639776954671399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ar-SA"/>
        </a:p>
      </c:txPr>
    </c:title>
    <c:autoTitleDeleted val="0"/>
    <c:plotArea>
      <c:layout>
        <c:manualLayout>
          <c:layoutTarget val="inner"/>
          <c:xMode val="edge"/>
          <c:yMode val="edge"/>
          <c:x val="0.22073660653074018"/>
          <c:y val="0.16952739680554846"/>
          <c:w val="0.66000927291518774"/>
          <c:h val="0.75164315063832565"/>
        </c:manualLayout>
      </c:layout>
      <c:pieChart>
        <c:varyColors val="1"/>
        <c:ser>
          <c:idx val="0"/>
          <c:order val="0"/>
          <c:tx>
            <c:strRef>
              <c:f>'التقرير '!$V$375</c:f>
              <c:strCache>
                <c:ptCount val="1"/>
              </c:strCache>
            </c:strRef>
          </c:tx>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1-F7A6-49E4-9FDD-ABE0B4EEA5BF}"/>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3-F7A6-49E4-9FDD-ABE0B4EEA5BF}"/>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5-F7A6-49E4-9FDD-ABE0B4EEA5BF}"/>
              </c:ext>
            </c:extLst>
          </c:dPt>
          <c:dPt>
            <c:idx val="3"/>
            <c:bubble3D val="0"/>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7-F7A6-49E4-9FDD-ABE0B4EEA5BF}"/>
              </c:ext>
            </c:extLst>
          </c:dPt>
          <c:dPt>
            <c:idx val="4"/>
            <c:bubble3D val="0"/>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9-F7A6-49E4-9FDD-ABE0B4EEA5BF}"/>
              </c:ext>
            </c:extLst>
          </c:dPt>
          <c:dPt>
            <c:idx val="5"/>
            <c:bubble3D val="0"/>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B-F7A6-49E4-9FDD-ABE0B4EEA5BF}"/>
              </c:ext>
            </c:extLst>
          </c:dPt>
          <c:dPt>
            <c:idx val="6"/>
            <c:bubble3D val="0"/>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D-F7A6-49E4-9FDD-ABE0B4EEA5BF}"/>
              </c:ext>
            </c:extLst>
          </c:dPt>
          <c:dPt>
            <c:idx val="7"/>
            <c:bubble3D val="0"/>
            <c:spPr>
              <a:gradFill rotWithShape="1">
                <a:gsLst>
                  <a:gs pos="0">
                    <a:schemeClr val="accent2">
                      <a:lumMod val="60000"/>
                      <a:shade val="51000"/>
                      <a:satMod val="130000"/>
                    </a:schemeClr>
                  </a:gs>
                  <a:gs pos="80000">
                    <a:schemeClr val="accent2">
                      <a:lumMod val="60000"/>
                      <a:shade val="93000"/>
                      <a:satMod val="130000"/>
                    </a:schemeClr>
                  </a:gs>
                  <a:gs pos="100000">
                    <a:schemeClr val="accent2">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0F-F7A6-49E4-9FDD-ABE0B4EEA5BF}"/>
              </c:ext>
            </c:extLst>
          </c:dPt>
          <c:dPt>
            <c:idx val="8"/>
            <c:bubble3D val="0"/>
            <c:spPr>
              <a:gradFill rotWithShape="1">
                <a:gsLst>
                  <a:gs pos="0">
                    <a:schemeClr val="accent3">
                      <a:lumMod val="60000"/>
                      <a:shade val="51000"/>
                      <a:satMod val="130000"/>
                    </a:schemeClr>
                  </a:gs>
                  <a:gs pos="80000">
                    <a:schemeClr val="accent3">
                      <a:lumMod val="60000"/>
                      <a:shade val="93000"/>
                      <a:satMod val="130000"/>
                    </a:schemeClr>
                  </a:gs>
                  <a:gs pos="100000">
                    <a:schemeClr val="accent3">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11-F7A6-49E4-9FDD-ABE0B4EEA5BF}"/>
              </c:ext>
            </c:extLst>
          </c:dPt>
          <c:dPt>
            <c:idx val="9"/>
            <c:bubble3D val="0"/>
            <c:spPr>
              <a:gradFill rotWithShape="1">
                <a:gsLst>
                  <a:gs pos="0">
                    <a:schemeClr val="accent4">
                      <a:lumMod val="60000"/>
                      <a:shade val="51000"/>
                      <a:satMod val="130000"/>
                    </a:schemeClr>
                  </a:gs>
                  <a:gs pos="80000">
                    <a:schemeClr val="accent4">
                      <a:lumMod val="60000"/>
                      <a:shade val="93000"/>
                      <a:satMod val="130000"/>
                    </a:schemeClr>
                  </a:gs>
                  <a:gs pos="100000">
                    <a:schemeClr val="accent4">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13-F7A6-49E4-9FDD-ABE0B4EEA5BF}"/>
              </c:ext>
            </c:extLst>
          </c:dPt>
          <c:dPt>
            <c:idx val="10"/>
            <c:bubble3D val="0"/>
            <c:spPr>
              <a:gradFill rotWithShape="1">
                <a:gsLst>
                  <a:gs pos="0">
                    <a:schemeClr val="accent5">
                      <a:lumMod val="60000"/>
                      <a:shade val="51000"/>
                      <a:satMod val="130000"/>
                    </a:schemeClr>
                  </a:gs>
                  <a:gs pos="80000">
                    <a:schemeClr val="accent5">
                      <a:lumMod val="60000"/>
                      <a:shade val="93000"/>
                      <a:satMod val="130000"/>
                    </a:schemeClr>
                  </a:gs>
                  <a:gs pos="100000">
                    <a:schemeClr val="accent5">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14-DD96-4ACC-9B9E-ECE1464D71A9}"/>
              </c:ext>
            </c:extLst>
          </c:dPt>
          <c:dPt>
            <c:idx val="11"/>
            <c:bubble3D val="0"/>
            <c:spPr>
              <a:gradFill rotWithShape="1">
                <a:gsLst>
                  <a:gs pos="0">
                    <a:schemeClr val="accent6">
                      <a:lumMod val="60000"/>
                      <a:shade val="51000"/>
                      <a:satMod val="130000"/>
                    </a:schemeClr>
                  </a:gs>
                  <a:gs pos="80000">
                    <a:schemeClr val="accent6">
                      <a:lumMod val="60000"/>
                      <a:shade val="93000"/>
                      <a:satMod val="130000"/>
                    </a:schemeClr>
                  </a:gs>
                  <a:gs pos="100000">
                    <a:schemeClr val="accent6">
                      <a:lumMod val="6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17-2D56-42C8-9800-13D1548B3202}"/>
              </c:ext>
            </c:extLst>
          </c:dPt>
          <c:dPt>
            <c:idx val="12"/>
            <c:bubble3D val="0"/>
            <c:spPr>
              <a:gradFill rotWithShape="1">
                <a:gsLst>
                  <a:gs pos="0">
                    <a:schemeClr val="accent1">
                      <a:lumMod val="80000"/>
                      <a:lumOff val="20000"/>
                      <a:shade val="51000"/>
                      <a:satMod val="130000"/>
                    </a:schemeClr>
                  </a:gs>
                  <a:gs pos="80000">
                    <a:schemeClr val="accent1">
                      <a:lumMod val="80000"/>
                      <a:lumOff val="20000"/>
                      <a:shade val="93000"/>
                      <a:satMod val="130000"/>
                    </a:schemeClr>
                  </a:gs>
                  <a:gs pos="100000">
                    <a:schemeClr val="accent1">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extLst>
              <c:ext xmlns:c16="http://schemas.microsoft.com/office/drawing/2014/chart" uri="{C3380CC4-5D6E-409C-BE32-E72D297353CC}">
                <c16:uniqueId val="{00000019-9B84-4848-ACB4-63022F63326C}"/>
              </c:ext>
            </c:extLst>
          </c:dPt>
          <c:dLbls>
            <c:dLbl>
              <c:idx val="5"/>
              <c:layout>
                <c:manualLayout>
                  <c:x val="-0.20761451306190032"/>
                  <c:y val="5.8989501312335961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F7A6-49E4-9FDD-ABE0B4EEA5BF}"/>
                </c:ext>
              </c:extLst>
            </c:dLbl>
            <c:dLbl>
              <c:idx val="10"/>
              <c:layout>
                <c:manualLayout>
                  <c:x val="-9.753382066911058E-2"/>
                  <c:y val="-8.218819104304875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4-DD96-4ACC-9B9E-ECE1464D71A9}"/>
                </c:ext>
              </c:extLst>
            </c:dLbl>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0"/>
            <c:showCatName val="1"/>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'!$Z$160:$Z$172</c:f>
              <c:numCache>
                <c:formatCode>_(* #,##0_);_(* \(#,##0\);_(* "-"??_);_(@_)</c:formatCode>
                <c:ptCount val="12"/>
                <c:pt idx="0">
                  <c:v>1500000</c:v>
                </c:pt>
                <c:pt idx="1">
                  <c:v>500000</c:v>
                </c:pt>
                <c:pt idx="2">
                  <c:v>600000</c:v>
                </c:pt>
                <c:pt idx="3">
                  <c:v>25000</c:v>
                </c:pt>
                <c:pt idx="4">
                  <c:v>2000</c:v>
                </c:pt>
                <c:pt idx="5">
                  <c:v>12000</c:v>
                </c:pt>
                <c:pt idx="6">
                  <c:v>36000</c:v>
                </c:pt>
                <c:pt idx="7">
                  <c:v>60000</c:v>
                </c:pt>
                <c:pt idx="8">
                  <c:v>60000</c:v>
                </c:pt>
                <c:pt idx="9">
                  <c:v>600000</c:v>
                </c:pt>
                <c:pt idx="10">
                  <c:v>150000</c:v>
                </c:pt>
                <c:pt idx="11">
                  <c:v>86800</c:v>
                </c:pt>
              </c:numCache>
            </c:numRef>
          </c:val>
          <c:extLst>
            <c:ext xmlns:c16="http://schemas.microsoft.com/office/drawing/2014/chart" uri="{C3380CC4-5D6E-409C-BE32-E72D297353CC}">
              <c16:uniqueId val="{00000014-F7A6-49E4-9FDD-ABE0B4EEA5BF}"/>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0"/>
          <c:order val="0"/>
          <c:tx>
            <c:strRef>
              <c:f>'التقرير '!$V$159</c:f>
              <c:strCache>
                <c:ptCount val="1"/>
                <c:pt idx="0">
                  <c:v>2024</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'!$V$160:$V$172</c:f>
              <c:numCache>
                <c:formatCode>_(* #,##0_);_(* \(#,##0\);_(* "-"??_);_(@_)</c:formatCode>
                <c:ptCount val="12"/>
                <c:pt idx="0">
                  <c:v>1125000</c:v>
                </c:pt>
                <c:pt idx="1">
                  <c:v>250000</c:v>
                </c:pt>
                <c:pt idx="2">
                  <c:v>300000</c:v>
                </c:pt>
                <c:pt idx="3">
                  <c:v>50000</c:v>
                </c:pt>
                <c:pt idx="4">
                  <c:v>2000</c:v>
                </c:pt>
                <c:pt idx="5">
                  <c:v>12000</c:v>
                </c:pt>
                <c:pt idx="6">
                  <c:v>36000</c:v>
                </c:pt>
                <c:pt idx="7">
                  <c:v>33000</c:v>
                </c:pt>
                <c:pt idx="8">
                  <c:v>30000</c:v>
                </c:pt>
                <c:pt idx="9">
                  <c:v>600000</c:v>
                </c:pt>
                <c:pt idx="10">
                  <c:v>150000</c:v>
                </c:pt>
                <c:pt idx="11">
                  <c:v>89800</c:v>
                </c:pt>
              </c:numCache>
            </c:numRef>
          </c:val>
          <c:extLst>
            <c:ext xmlns:c16="http://schemas.microsoft.com/office/drawing/2014/chart" uri="{C3380CC4-5D6E-409C-BE32-E72D297353CC}">
              <c16:uniqueId val="{00000000-39D9-4211-A209-0C44C42430B7}"/>
            </c:ext>
          </c:extLst>
        </c:ser>
        <c:ser>
          <c:idx val="1"/>
          <c:order val="1"/>
          <c:tx>
            <c:strRef>
              <c:f>'التقرير '!$W$159</c:f>
              <c:strCache>
                <c:ptCount val="1"/>
                <c:pt idx="0">
                  <c:v>2025</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'!$W$160:$W$172</c:f>
              <c:numCache>
                <c:formatCode>_(* #,##0_);_(* \(#,##0\);_(* "-"??_);_(@_)</c:formatCode>
                <c:ptCount val="12"/>
                <c:pt idx="0">
                  <c:v>1200000</c:v>
                </c:pt>
                <c:pt idx="1">
                  <c:v>325000.00000000017</c:v>
                </c:pt>
                <c:pt idx="2">
                  <c:v>390000.00000000023</c:v>
                </c:pt>
                <c:pt idx="3">
                  <c:v>25000</c:v>
                </c:pt>
                <c:pt idx="4">
                  <c:v>2000</c:v>
                </c:pt>
                <c:pt idx="5">
                  <c:v>12000</c:v>
                </c:pt>
                <c:pt idx="6">
                  <c:v>36000</c:v>
                </c:pt>
                <c:pt idx="7">
                  <c:v>39000</c:v>
                </c:pt>
                <c:pt idx="8">
                  <c:v>42000</c:v>
                </c:pt>
                <c:pt idx="9">
                  <c:v>600000</c:v>
                </c:pt>
                <c:pt idx="10">
                  <c:v>150000</c:v>
                </c:pt>
                <c:pt idx="11">
                  <c:v>89800</c:v>
                </c:pt>
              </c:numCache>
            </c:numRef>
          </c:val>
          <c:extLst>
            <c:ext xmlns:c16="http://schemas.microsoft.com/office/drawing/2014/chart" uri="{C3380CC4-5D6E-409C-BE32-E72D297353CC}">
              <c16:uniqueId val="{00000001-39D9-4211-A209-0C44C42430B7}"/>
            </c:ext>
          </c:extLst>
        </c:ser>
        <c:ser>
          <c:idx val="2"/>
          <c:order val="2"/>
          <c:tx>
            <c:strRef>
              <c:f>'التقرير '!$X$159</c:f>
              <c:strCache>
                <c:ptCount val="1"/>
                <c:pt idx="0">
                  <c:v>2026</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'!$X$160:$X$172</c:f>
              <c:numCache>
                <c:formatCode>_(* #,##0_);_(* \(#,##0\);_(* "-"??_);_(@_)</c:formatCode>
                <c:ptCount val="12"/>
                <c:pt idx="0">
                  <c:v>1275000</c:v>
                </c:pt>
                <c:pt idx="1">
                  <c:v>400000</c:v>
                </c:pt>
                <c:pt idx="2">
                  <c:v>480000</c:v>
                </c:pt>
                <c:pt idx="3">
                  <c:v>25000</c:v>
                </c:pt>
                <c:pt idx="4">
                  <c:v>2000</c:v>
                </c:pt>
                <c:pt idx="5">
                  <c:v>12000</c:v>
                </c:pt>
                <c:pt idx="6">
                  <c:v>36000</c:v>
                </c:pt>
                <c:pt idx="7">
                  <c:v>48000</c:v>
                </c:pt>
                <c:pt idx="8">
                  <c:v>48000</c:v>
                </c:pt>
                <c:pt idx="9">
                  <c:v>600000</c:v>
                </c:pt>
                <c:pt idx="10">
                  <c:v>150000</c:v>
                </c:pt>
                <c:pt idx="11">
                  <c:v>89800</c:v>
                </c:pt>
              </c:numCache>
            </c:numRef>
          </c:val>
          <c:extLst>
            <c:ext xmlns:c16="http://schemas.microsoft.com/office/drawing/2014/chart" uri="{C3380CC4-5D6E-409C-BE32-E72D297353CC}">
              <c16:uniqueId val="{00000002-39D9-4211-A209-0C44C42430B7}"/>
            </c:ext>
          </c:extLst>
        </c:ser>
        <c:ser>
          <c:idx val="3"/>
          <c:order val="3"/>
          <c:tx>
            <c:strRef>
              <c:f>'التقرير '!$Y$159</c:f>
              <c:strCache>
                <c:ptCount val="1"/>
                <c:pt idx="0">
                  <c:v>2027</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'!$Y$160:$Y$172</c:f>
              <c:numCache>
                <c:formatCode>_(* #,##0_);_(* \(#,##0\);_(* "-"??_);_(@_)</c:formatCode>
                <c:ptCount val="12"/>
                <c:pt idx="0">
                  <c:v>1425000</c:v>
                </c:pt>
                <c:pt idx="1">
                  <c:v>449999.99999999965</c:v>
                </c:pt>
                <c:pt idx="2">
                  <c:v>540000</c:v>
                </c:pt>
                <c:pt idx="3">
                  <c:v>25000</c:v>
                </c:pt>
                <c:pt idx="4">
                  <c:v>2000</c:v>
                </c:pt>
                <c:pt idx="5">
                  <c:v>12000</c:v>
                </c:pt>
                <c:pt idx="6">
                  <c:v>36000</c:v>
                </c:pt>
                <c:pt idx="7">
                  <c:v>54000</c:v>
                </c:pt>
                <c:pt idx="8">
                  <c:v>54000</c:v>
                </c:pt>
                <c:pt idx="9">
                  <c:v>600000</c:v>
                </c:pt>
                <c:pt idx="10">
                  <c:v>150000</c:v>
                </c:pt>
                <c:pt idx="11">
                  <c:v>86800</c:v>
                </c:pt>
              </c:numCache>
            </c:numRef>
          </c:val>
          <c:extLst>
            <c:ext xmlns:c16="http://schemas.microsoft.com/office/drawing/2014/chart" uri="{C3380CC4-5D6E-409C-BE32-E72D297353CC}">
              <c16:uniqueId val="{00000001-66B9-4704-9D05-E857B4160A98}"/>
            </c:ext>
          </c:extLst>
        </c:ser>
        <c:ser>
          <c:idx val="4"/>
          <c:order val="4"/>
          <c:tx>
            <c:strRef>
              <c:f>'التقرير '!$Z$159</c:f>
              <c:strCache>
                <c:ptCount val="1"/>
                <c:pt idx="0">
                  <c:v>2028</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f>'التقرير '!$U$160:$U$172</c:f>
              <c:strCache>
                <c:ptCount val="12"/>
                <c:pt idx="0">
                  <c:v>الرواتب والأجور</c:v>
                </c:pt>
                <c:pt idx="1">
                  <c:v>عمولات و حوافز</c:v>
                </c:pt>
                <c:pt idx="2">
                  <c:v>تسويق </c:v>
                </c:pt>
                <c:pt idx="3">
                  <c:v>مصروفات حكومية</c:v>
                </c:pt>
                <c:pt idx="4">
                  <c:v>اشتراكات وبرامج</c:v>
                </c:pt>
                <c:pt idx="5">
                  <c:v>هاتف و انترنت</c:v>
                </c:pt>
                <c:pt idx="6">
                  <c:v>خدمات -  كهرباء، ماء، نظافة. وقود  ..... </c:v>
                </c:pt>
                <c:pt idx="7">
                  <c:v>مصاريف ضيافة</c:v>
                </c:pt>
                <c:pt idx="8">
                  <c:v>مصاريف أخرى </c:v>
                </c:pt>
                <c:pt idx="9">
                  <c:v>إيجارات</c:v>
                </c:pt>
                <c:pt idx="10">
                  <c:v>تأمينات</c:v>
                </c:pt>
                <c:pt idx="11">
                  <c:v>استهلاك الأصول الثابتة</c:v>
                </c:pt>
              </c:strCache>
            </c:strRef>
          </c:cat>
          <c:val>
            <c:numRef>
              <c:f>'التقرير '!$Z$160:$Z$172</c:f>
              <c:numCache>
                <c:formatCode>_(* #,##0_);_(* \(#,##0\);_(* "-"??_);_(@_)</c:formatCode>
                <c:ptCount val="12"/>
                <c:pt idx="0">
                  <c:v>1500000</c:v>
                </c:pt>
                <c:pt idx="1">
                  <c:v>500000</c:v>
                </c:pt>
                <c:pt idx="2">
                  <c:v>600000</c:v>
                </c:pt>
                <c:pt idx="3">
                  <c:v>25000</c:v>
                </c:pt>
                <c:pt idx="4">
                  <c:v>2000</c:v>
                </c:pt>
                <c:pt idx="5">
                  <c:v>12000</c:v>
                </c:pt>
                <c:pt idx="6">
                  <c:v>36000</c:v>
                </c:pt>
                <c:pt idx="7">
                  <c:v>60000</c:v>
                </c:pt>
                <c:pt idx="8">
                  <c:v>60000</c:v>
                </c:pt>
                <c:pt idx="9">
                  <c:v>600000</c:v>
                </c:pt>
                <c:pt idx="10">
                  <c:v>150000</c:v>
                </c:pt>
                <c:pt idx="11">
                  <c:v>86800</c:v>
                </c:pt>
              </c:numCache>
            </c:numRef>
          </c:val>
          <c:extLst>
            <c:ext xmlns:c16="http://schemas.microsoft.com/office/drawing/2014/chart" uri="{C3380CC4-5D6E-409C-BE32-E72D297353CC}">
              <c16:uniqueId val="{00000002-66B9-4704-9D05-E857B4160A98}"/>
            </c:ext>
          </c:extLst>
        </c:ser>
        <c:dLbls>
          <c:showLegendKey val="0"/>
          <c:showVal val="0"/>
          <c:showCatName val="0"/>
          <c:showSerName val="0"/>
          <c:showPercent val="0"/>
          <c:showBubbleSize val="0"/>
        </c:dLbls>
        <c:gapWidth val="100"/>
        <c:axId val="250167264"/>
        <c:axId val="250167824"/>
      </c:barChart>
      <c:catAx>
        <c:axId val="250167264"/>
        <c:scaling>
          <c:orientation val="maxMin"/>
        </c:scaling>
        <c:delete val="0"/>
        <c:axPos val="r"/>
        <c:numFmt formatCode="General" sourceLinked="0"/>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ar-SA"/>
          </a:p>
        </c:txPr>
        <c:crossAx val="250167824"/>
        <c:crosses val="autoZero"/>
        <c:auto val="1"/>
        <c:lblAlgn val="ctr"/>
        <c:lblOffset val="100"/>
        <c:noMultiLvlLbl val="0"/>
      </c:catAx>
      <c:valAx>
        <c:axId val="250167824"/>
        <c:scaling>
          <c:orientation val="maxMin"/>
        </c:scaling>
        <c:delete val="0"/>
        <c:axPos val="t"/>
        <c:majorGridlines>
          <c:spPr>
            <a:ln w="9525" cap="flat" cmpd="sng" algn="ctr">
              <a:solidFill>
                <a:schemeClr val="tx2">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ar-SA"/>
          </a:p>
        </c:txPr>
        <c:crossAx val="250167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ar-SA"/>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الإيرادات حسب الاصناف</a:t>
            </a:r>
          </a:p>
        </c:rich>
      </c:tx>
      <c:layout>
        <c:manualLayout>
          <c:xMode val="edge"/>
          <c:yMode val="edge"/>
          <c:x val="0.83485774153080516"/>
          <c:y val="2.8800533107754975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ar-SA"/>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
          <c:y val="7.4262128268039837E-2"/>
          <c:w val="1"/>
          <c:h val="0.82815707984761211"/>
        </c:manualLayout>
      </c:layout>
      <c:pie3DChart>
        <c:varyColors val="1"/>
        <c:ser>
          <c:idx val="0"/>
          <c:order val="0"/>
          <c:tx>
            <c:strRef>
              <c:f>'التقرير '!$AB$283</c:f>
              <c:strCache>
                <c:ptCount val="1"/>
                <c:pt idx="0">
                  <c:v>المجموع</c:v>
                </c:pt>
              </c:strCache>
            </c:strRef>
          </c:tx>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1-803B-4EE3-B66B-8BACEF4623A1}"/>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3-803B-4EE3-B66B-8BACEF4623A1}"/>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5-803B-4EE3-B66B-8BACEF4623A1}"/>
              </c:ext>
            </c:extLst>
          </c:dPt>
          <c:dPt>
            <c:idx val="3"/>
            <c:bubble3D val="0"/>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7-803B-4EE3-B66B-8BACEF4623A1}"/>
              </c:ext>
            </c:extLst>
          </c:dPt>
          <c:dPt>
            <c:idx val="4"/>
            <c:bubble3D val="0"/>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9-803B-4EE3-B66B-8BACEF4623A1}"/>
              </c:ext>
            </c:extLst>
          </c:dPt>
          <c:dPt>
            <c:idx val="5"/>
            <c:bubble3D val="0"/>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B-803B-4EE3-B66B-8BACEF4623A1}"/>
              </c:ext>
            </c:extLst>
          </c:dPt>
          <c:dPt>
            <c:idx val="6"/>
            <c:bubble3D val="0"/>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D-803B-4EE3-B66B-8BACEF4623A1}"/>
              </c:ext>
            </c:extLst>
          </c:dPt>
          <c:dPt>
            <c:idx val="7"/>
            <c:bubble3D val="0"/>
            <c:spPr>
              <a:gradFill rotWithShape="1">
                <a:gsLst>
                  <a:gs pos="0">
                    <a:schemeClr val="accent2">
                      <a:lumMod val="60000"/>
                      <a:shade val="51000"/>
                      <a:satMod val="130000"/>
                    </a:schemeClr>
                  </a:gs>
                  <a:gs pos="80000">
                    <a:schemeClr val="accent2">
                      <a:lumMod val="60000"/>
                      <a:shade val="93000"/>
                      <a:satMod val="130000"/>
                    </a:schemeClr>
                  </a:gs>
                  <a:gs pos="100000">
                    <a:schemeClr val="accent2">
                      <a:lumMod val="60000"/>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F-803B-4EE3-B66B-8BACEF4623A1}"/>
              </c:ext>
            </c:extLst>
          </c:dPt>
          <c:dPt>
            <c:idx val="8"/>
            <c:bubble3D val="0"/>
            <c:spPr>
              <a:gradFill rotWithShape="1">
                <a:gsLst>
                  <a:gs pos="0">
                    <a:schemeClr val="accent3">
                      <a:lumMod val="60000"/>
                      <a:shade val="51000"/>
                      <a:satMod val="130000"/>
                    </a:schemeClr>
                  </a:gs>
                  <a:gs pos="80000">
                    <a:schemeClr val="accent3">
                      <a:lumMod val="60000"/>
                      <a:shade val="93000"/>
                      <a:satMod val="130000"/>
                    </a:schemeClr>
                  </a:gs>
                  <a:gs pos="100000">
                    <a:schemeClr val="accent3">
                      <a:lumMod val="60000"/>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11-803B-4EE3-B66B-8BACEF4623A1}"/>
              </c:ext>
            </c:extLst>
          </c:dPt>
          <c:dPt>
            <c:idx val="9"/>
            <c:bubble3D val="0"/>
            <c:spPr>
              <a:gradFill rotWithShape="1">
                <a:gsLst>
                  <a:gs pos="0">
                    <a:schemeClr val="accent4">
                      <a:lumMod val="60000"/>
                      <a:shade val="51000"/>
                      <a:satMod val="130000"/>
                    </a:schemeClr>
                  </a:gs>
                  <a:gs pos="80000">
                    <a:schemeClr val="accent4">
                      <a:lumMod val="60000"/>
                      <a:shade val="93000"/>
                      <a:satMod val="130000"/>
                    </a:schemeClr>
                  </a:gs>
                  <a:gs pos="100000">
                    <a:schemeClr val="accent4">
                      <a:lumMod val="60000"/>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13-803B-4EE3-B66B-8BACEF4623A1}"/>
              </c:ext>
            </c:extLst>
          </c:dPt>
          <c:dLbls>
            <c:spPr>
              <a:solidFill>
                <a:schemeClr val="bg1">
                  <a:alpha val="70000"/>
                </a:schemeClr>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ar-SA"/>
              </a:p>
            </c:txPr>
            <c:showLegendKey val="0"/>
            <c:showVal val="0"/>
            <c:showCatName val="1"/>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'التقرير '!$V$284:$V$293</c:f>
              <c:strCache>
                <c:ptCount val="7"/>
                <c:pt idx="0">
                  <c:v>صنف 1</c:v>
                </c:pt>
                <c:pt idx="1">
                  <c:v>صنف 2</c:v>
                </c:pt>
                <c:pt idx="2">
                  <c:v>صنف 3</c:v>
                </c:pt>
                <c:pt idx="3">
                  <c:v>صنف 4</c:v>
                </c:pt>
                <c:pt idx="4">
                  <c:v>صنف 5</c:v>
                </c:pt>
                <c:pt idx="5">
                  <c:v>صنف 6</c:v>
                </c:pt>
                <c:pt idx="6">
                  <c:v>صنف 7</c:v>
                </c:pt>
              </c:strCache>
            </c:strRef>
          </c:cat>
          <c:val>
            <c:numRef>
              <c:f>'التقرير '!$AB$284:$AB$293</c:f>
              <c:numCache>
                <c:formatCode>_(* #,##0_);_(* \(#,##0\);_(* "-"??_);_(@_)</c:formatCode>
                <c:ptCount val="7"/>
                <c:pt idx="0">
                  <c:v>2275837.1</c:v>
                </c:pt>
                <c:pt idx="1">
                  <c:v>3540615</c:v>
                </c:pt>
                <c:pt idx="2">
                  <c:v>1822170</c:v>
                </c:pt>
                <c:pt idx="3">
                  <c:v>3276875.25</c:v>
                </c:pt>
                <c:pt idx="4">
                  <c:v>6020632.7999999998</c:v>
                </c:pt>
                <c:pt idx="5">
                  <c:v>4300452</c:v>
                </c:pt>
                <c:pt idx="6">
                  <c:v>573534</c:v>
                </c:pt>
              </c:numCache>
            </c:numRef>
          </c:val>
          <c:extLst>
            <c:ext xmlns:c16="http://schemas.microsoft.com/office/drawing/2014/chart" uri="{C3380CC4-5D6E-409C-BE32-E72D297353CC}">
              <c16:uniqueId val="{00000014-803B-4EE3-B66B-8BACEF4623A1}"/>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ar-SA"/>
              <a:t>التمويل</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2-86C3-4A0D-8E80-E98454F00A08}"/>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3-1E27-4C29-BF44-108F7BBD0003}"/>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5-1E27-4C29-BF44-108F7BBD0003}"/>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1" i="0" u="none" strike="noStrike" kern="1200" baseline="0">
                    <a:solidFill>
                      <a:schemeClr val="dk2">
                        <a:lumMod val="75000"/>
                      </a:schemeClr>
                    </a:solidFill>
                    <a:latin typeface="+mn-lt"/>
                    <a:ea typeface="+mn-ea"/>
                    <a:cs typeface="+mn-cs"/>
                  </a:defRPr>
                </a:pPr>
                <a:endParaRPr lang="ar-SA"/>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'التقرير '!$F$66:$F$68</c:f>
              <c:strCache>
                <c:ptCount val="3"/>
                <c:pt idx="0">
                  <c:v>المبلغ</c:v>
                </c:pt>
                <c:pt idx="1">
                  <c:v>النسبة</c:v>
                </c:pt>
                <c:pt idx="2">
                  <c:v>0</c:v>
                </c:pt>
              </c:strCache>
            </c:strRef>
          </c:cat>
          <c:val>
            <c:numRef>
              <c:f>'التقرير '!$I$66:$I$68</c:f>
              <c:numCache>
                <c:formatCode>#,##0_);\(#,##0\)</c:formatCode>
                <c:ptCount val="3"/>
                <c:pt idx="0">
                  <c:v>1200000</c:v>
                </c:pt>
                <c:pt idx="1">
                  <c:v>400000</c:v>
                </c:pt>
                <c:pt idx="2" formatCode="_(* #,##0_);_(* \(#,##0\);_(* &quot;-&quot;??_);_(@_)">
                  <c:v>800000</c:v>
                </c:pt>
              </c:numCache>
            </c:numRef>
          </c:val>
          <c:extLst>
            <c:ext xmlns:c16="http://schemas.microsoft.com/office/drawing/2014/chart" uri="{C3380CC4-5D6E-409C-BE32-E72D297353CC}">
              <c16:uniqueId val="{00000000-86C3-4A0D-8E80-E98454F00A08}"/>
            </c:ext>
          </c:extLst>
        </c:ser>
        <c:ser>
          <c:idx val="1"/>
          <c:order val="1"/>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3-727A-4049-959F-91CA25CAC6B3}"/>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9-1E27-4C29-BF44-108F7BBD0003}"/>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B-1E27-4C29-BF44-108F7BBD0003}"/>
              </c:ext>
            </c:extLst>
          </c:dPt>
          <c:dLbls>
            <c:spPr>
              <a:solidFill>
                <a:schemeClr val="lt1"/>
              </a:solidFill>
              <a:ln>
                <a:solidFill>
                  <a:schemeClr val="dk1">
                    <a:lumMod val="25000"/>
                    <a:lumOff val="75000"/>
                  </a:scheme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2">
                        <a:lumMod val="75000"/>
                      </a:schemeClr>
                    </a:solidFill>
                    <a:latin typeface="+mn-lt"/>
                    <a:ea typeface="+mn-ea"/>
                    <a:cs typeface="+mn-cs"/>
                  </a:defRPr>
                </a:pPr>
                <a:endParaRPr lang="ar-SA"/>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'التقرير '!$F$66:$F$68</c:f>
              <c:strCache>
                <c:ptCount val="3"/>
                <c:pt idx="0">
                  <c:v>المبلغ</c:v>
                </c:pt>
                <c:pt idx="1">
                  <c:v>النسبة</c:v>
                </c:pt>
                <c:pt idx="2">
                  <c:v>0</c:v>
                </c:pt>
              </c:strCache>
            </c:strRef>
          </c:cat>
          <c:val>
            <c:numRef>
              <c:f>'التقرير '!$J$66:$J$68</c:f>
              <c:numCache>
                <c:formatCode>General</c:formatCode>
                <c:ptCount val="3"/>
              </c:numCache>
            </c:numRef>
          </c:val>
          <c:extLst>
            <c:ext xmlns:c16="http://schemas.microsoft.com/office/drawing/2014/chart" uri="{C3380CC4-5D6E-409C-BE32-E72D297353CC}">
              <c16:uniqueId val="{00000001-86C3-4A0D-8E80-E98454F00A08}"/>
            </c:ext>
          </c:extLst>
        </c:ser>
        <c:dLbls>
          <c:showLegendKey val="0"/>
          <c:showVal val="0"/>
          <c:showCatName val="0"/>
          <c:showSerName val="0"/>
          <c:showPercent val="0"/>
          <c:showBubbleSize val="0"/>
          <c:showLeaderLines val="0"/>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1200" b="1" i="0" u="none" strike="noStrike" kern="1200" baseline="0">
              <a:solidFill>
                <a:schemeClr val="tx2"/>
              </a:solidFill>
              <a:latin typeface="+mn-lt"/>
              <a:ea typeface="+mn-ea"/>
              <a:cs typeface="+mn-cs"/>
            </a:defRPr>
          </a:pPr>
          <a:endParaRPr lang="ar-SA"/>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ملخص!$C$18</c:f>
              <c:strCache>
                <c:ptCount val="1"/>
                <c:pt idx="0">
                  <c:v>الإيرادات </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cap="flat" cmpd="sng" algn="ctr">
              <a:solidFill>
                <a:schemeClr val="accent1">
                  <a:shade val="95000"/>
                  <a:satMod val="105000"/>
                </a:schemeClr>
              </a:solidFill>
              <a:prstDash val="solid"/>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ar-SA"/>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ملخص!$E$17:$I$17</c:f>
              <c:numCache>
                <c:formatCode>General</c:formatCode>
                <c:ptCount val="5"/>
                <c:pt idx="0">
                  <c:v>2024</c:v>
                </c:pt>
                <c:pt idx="1">
                  <c:v>2025</c:v>
                </c:pt>
                <c:pt idx="2">
                  <c:v>2026</c:v>
                </c:pt>
                <c:pt idx="3">
                  <c:v>2027</c:v>
                </c:pt>
                <c:pt idx="4">
                  <c:v>2028</c:v>
                </c:pt>
              </c:numCache>
            </c:numRef>
          </c:cat>
          <c:val>
            <c:numRef>
              <c:f>ملخص!$E$18:$I$18</c:f>
              <c:numCache>
                <c:formatCode>_(* #,##0_);_(* \(#,##0\);_(* "-"??_);_(@_)</c:formatCode>
                <c:ptCount val="5"/>
                <c:pt idx="0">
                  <c:v>4317.6620000000003</c:v>
                </c:pt>
                <c:pt idx="1">
                  <c:v>6499.9610000000002</c:v>
                </c:pt>
                <c:pt idx="2">
                  <c:v>7999.9520000000002</c:v>
                </c:pt>
                <c:pt idx="3">
                  <c:v>8999.9459999999999</c:v>
                </c:pt>
                <c:pt idx="4">
                  <c:v>9999.94</c:v>
                </c:pt>
              </c:numCache>
            </c:numRef>
          </c:val>
          <c:extLst>
            <c:ext xmlns:c16="http://schemas.microsoft.com/office/drawing/2014/chart" uri="{C3380CC4-5D6E-409C-BE32-E72D297353CC}">
              <c16:uniqueId val="{00000000-0A44-44C4-B482-6CCEE1C4A8E1}"/>
            </c:ext>
          </c:extLst>
        </c:ser>
        <c:dLbls>
          <c:showLegendKey val="0"/>
          <c:showVal val="0"/>
          <c:showCatName val="0"/>
          <c:showSerName val="0"/>
          <c:showPercent val="0"/>
          <c:showBubbleSize val="0"/>
        </c:dLbls>
        <c:gapWidth val="219"/>
        <c:overlap val="-27"/>
        <c:axId val="250175104"/>
        <c:axId val="250175664"/>
      </c:barChart>
      <c:lineChart>
        <c:grouping val="standard"/>
        <c:varyColors val="0"/>
        <c:ser>
          <c:idx val="1"/>
          <c:order val="1"/>
          <c:tx>
            <c:strRef>
              <c:f>ملخص!$C$24</c:f>
              <c:strCache>
                <c:ptCount val="1"/>
                <c:pt idx="0">
                  <c:v>صافي الدخل</c:v>
                </c:pt>
              </c:strCache>
            </c:strRef>
          </c:tx>
          <c:spPr>
            <a:ln w="25400" cap="flat" cmpd="sng" algn="ctr">
              <a:solidFill>
                <a:schemeClr val="accent6">
                  <a:shade val="50000"/>
                </a:schemeClr>
              </a:solidFill>
              <a:prstDash val="solid"/>
              <a:round/>
            </a:ln>
            <a:effectLst/>
          </c:spPr>
          <c:marker>
            <c:symbol val="circle"/>
            <c:size val="5"/>
            <c:spPr>
              <a:solidFill>
                <a:schemeClr val="accent6"/>
              </a:solidFill>
              <a:ln w="25400" cap="flat" cmpd="sng" algn="ctr">
                <a:solidFill>
                  <a:schemeClr val="accent6">
                    <a:shade val="50000"/>
                  </a:schemeClr>
                </a:solidFill>
                <a:prstDash val="solid"/>
              </a:ln>
              <a:effectLst/>
            </c:spPr>
          </c:marker>
          <c:dLbls>
            <c:spPr>
              <a:gradFill rotWithShape="1">
                <a:gsLst>
                  <a:gs pos="0">
                    <a:schemeClr val="accent6">
                      <a:tint val="50000"/>
                      <a:satMod val="300000"/>
                    </a:schemeClr>
                  </a:gs>
                  <a:gs pos="35000">
                    <a:schemeClr val="accent6">
                      <a:tint val="37000"/>
                      <a:satMod val="300000"/>
                    </a:schemeClr>
                  </a:gs>
                  <a:gs pos="100000">
                    <a:schemeClr val="accent6">
                      <a:tint val="15000"/>
                      <a:satMod val="350000"/>
                    </a:schemeClr>
                  </a:gs>
                </a:gsLst>
                <a:lin ang="16200000" scaled="1"/>
              </a:gradFill>
              <a:ln w="9525" cap="flat" cmpd="sng" algn="ctr">
                <a:solidFill>
                  <a:schemeClr val="accent6">
                    <a:shade val="95000"/>
                    <a:satMod val="105000"/>
                  </a:schemeClr>
                </a:solidFill>
                <a:prstDash val="solid"/>
              </a:ln>
              <a:effectLst>
                <a:outerShdw blurRad="40000" dist="20000" dir="5400000" rotWithShape="0">
                  <a:srgbClr val="000000">
                    <a:alpha val="38000"/>
                  </a:srgbClr>
                </a:outerShdw>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ar-SA"/>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ملخص!$E$17:$I$17</c:f>
              <c:numCache>
                <c:formatCode>General</c:formatCode>
                <c:ptCount val="5"/>
                <c:pt idx="0">
                  <c:v>2024</c:v>
                </c:pt>
                <c:pt idx="1">
                  <c:v>2025</c:v>
                </c:pt>
                <c:pt idx="2">
                  <c:v>2026</c:v>
                </c:pt>
                <c:pt idx="3">
                  <c:v>2027</c:v>
                </c:pt>
                <c:pt idx="4">
                  <c:v>2028</c:v>
                </c:pt>
              </c:numCache>
            </c:numRef>
          </c:cat>
          <c:val>
            <c:numRef>
              <c:f>ملخص!$E$24:$I$24</c:f>
              <c:numCache>
                <c:formatCode>_(* #,##0_);_(* \(#,##0\);_(* "-"??_);_(@_)</c:formatCode>
                <c:ptCount val="5"/>
                <c:pt idx="0">
                  <c:v>-219.57940000000053</c:v>
                </c:pt>
                <c:pt idx="1">
                  <c:v>789.71491963025392</c:v>
                </c:pt>
                <c:pt idx="2">
                  <c:v>1389.5504769957192</c:v>
                </c:pt>
                <c:pt idx="3">
                  <c:v>1694.7889948558031</c:v>
                </c:pt>
                <c:pt idx="4">
                  <c:v>2070.4362347302886</c:v>
                </c:pt>
              </c:numCache>
            </c:numRef>
          </c:val>
          <c:smooth val="0"/>
          <c:extLst>
            <c:ext xmlns:c16="http://schemas.microsoft.com/office/drawing/2014/chart" uri="{C3380CC4-5D6E-409C-BE32-E72D297353CC}">
              <c16:uniqueId val="{00000001-0A44-44C4-B482-6CCEE1C4A8E1}"/>
            </c:ext>
          </c:extLst>
        </c:ser>
        <c:dLbls>
          <c:showLegendKey val="0"/>
          <c:showVal val="0"/>
          <c:showCatName val="0"/>
          <c:showSerName val="0"/>
          <c:showPercent val="0"/>
          <c:showBubbleSize val="0"/>
        </c:dLbls>
        <c:marker val="1"/>
        <c:smooth val="0"/>
        <c:axId val="250175104"/>
        <c:axId val="250175664"/>
      </c:lineChart>
      <c:catAx>
        <c:axId val="250175104"/>
        <c:scaling>
          <c:orientation val="maxMin"/>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ar-SA"/>
          </a:p>
        </c:txPr>
        <c:crossAx val="250175664"/>
        <c:crosses val="autoZero"/>
        <c:auto val="1"/>
        <c:lblAlgn val="ctr"/>
        <c:lblOffset val="100"/>
        <c:noMultiLvlLbl val="0"/>
      </c:catAx>
      <c:valAx>
        <c:axId val="250175664"/>
        <c:scaling>
          <c:orientation val="minMax"/>
        </c:scaling>
        <c:delete val="0"/>
        <c:axPos val="r"/>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ar-SA"/>
          </a:p>
        </c:txPr>
        <c:crossAx val="250175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ar-SA"/>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ملخص!$C$38</c:f>
              <c:strCache>
                <c:ptCount val="1"/>
                <c:pt idx="0">
                  <c:v>الإستثمار</c:v>
                </c:pt>
              </c:strCache>
            </c:strRef>
          </c:tx>
          <c:spPr>
            <a:ln w="31750" cap="rnd">
              <a:solidFill>
                <a:schemeClr val="accent1"/>
              </a:solidFill>
              <a:round/>
            </a:ln>
            <a:effectLst>
              <a:outerShdw blurRad="40000" dist="23000" dir="5400000" rotWithShape="0">
                <a:srgbClr val="000000">
                  <a:alpha val="35000"/>
                </a:srgbClr>
              </a:outerShdw>
            </a:effectLst>
          </c:spPr>
          <c:marker>
            <c:symbol val="none"/>
          </c:marker>
          <c:cat>
            <c:strRef>
              <c:f>ملخص!$D$37:$I$37</c:f>
              <c:strCache>
                <c:ptCount val="6"/>
                <c:pt idx="0">
                  <c:v>التأسيس</c:v>
                </c:pt>
                <c:pt idx="1">
                  <c:v>2024</c:v>
                </c:pt>
                <c:pt idx="2">
                  <c:v>2025</c:v>
                </c:pt>
                <c:pt idx="3">
                  <c:v>2026</c:v>
                </c:pt>
                <c:pt idx="4">
                  <c:v>2027</c:v>
                </c:pt>
                <c:pt idx="5">
                  <c:v>2028</c:v>
                </c:pt>
              </c:strCache>
            </c:strRef>
          </c:cat>
          <c:val>
            <c:numRef>
              <c:f>ملخص!$D$38:$I$38</c:f>
              <c:numCache>
                <c:formatCode>_(* #,##0_);_(* \(#,##0\);_(* "-"??_);_(@_)</c:formatCode>
                <c:ptCount val="6"/>
                <c:pt idx="0">
                  <c:v>2400</c:v>
                </c:pt>
                <c:pt idx="1">
                  <c:v>2400</c:v>
                </c:pt>
                <c:pt idx="2">
                  <c:v>2400</c:v>
                </c:pt>
                <c:pt idx="3">
                  <c:v>2400</c:v>
                </c:pt>
                <c:pt idx="4">
                  <c:v>2400</c:v>
                </c:pt>
                <c:pt idx="5">
                  <c:v>2400</c:v>
                </c:pt>
              </c:numCache>
            </c:numRef>
          </c:val>
          <c:smooth val="0"/>
          <c:extLst>
            <c:ext xmlns:c16="http://schemas.microsoft.com/office/drawing/2014/chart" uri="{C3380CC4-5D6E-409C-BE32-E72D297353CC}">
              <c16:uniqueId val="{00000000-D370-4579-9941-9D10190380C3}"/>
            </c:ext>
          </c:extLst>
        </c:ser>
        <c:ser>
          <c:idx val="1"/>
          <c:order val="1"/>
          <c:tx>
            <c:strRef>
              <c:f>ملخص!$C$39</c:f>
              <c:strCache>
                <c:ptCount val="1"/>
                <c:pt idx="0">
                  <c:v>التدفقات النقدية</c:v>
                </c:pt>
              </c:strCache>
            </c:strRef>
          </c:tx>
          <c:spPr>
            <a:ln w="31750" cap="rnd">
              <a:solidFill>
                <a:schemeClr val="accent2"/>
              </a:solidFill>
              <a:round/>
            </a:ln>
            <a:effectLst>
              <a:outerShdw blurRad="40000" dist="23000" dir="5400000" rotWithShape="0">
                <a:srgbClr val="000000">
                  <a:alpha val="35000"/>
                </a:srgbClr>
              </a:outerShdw>
            </a:effectLst>
          </c:spPr>
          <c:marker>
            <c:symbol val="none"/>
          </c:marker>
          <c:cat>
            <c:strRef>
              <c:f>ملخص!$D$37:$I$37</c:f>
              <c:strCache>
                <c:ptCount val="6"/>
                <c:pt idx="0">
                  <c:v>التأسيس</c:v>
                </c:pt>
                <c:pt idx="1">
                  <c:v>2024</c:v>
                </c:pt>
                <c:pt idx="2">
                  <c:v>2025</c:v>
                </c:pt>
                <c:pt idx="3">
                  <c:v>2026</c:v>
                </c:pt>
                <c:pt idx="4">
                  <c:v>2027</c:v>
                </c:pt>
                <c:pt idx="5">
                  <c:v>2028</c:v>
                </c:pt>
              </c:strCache>
            </c:strRef>
          </c:cat>
          <c:val>
            <c:numRef>
              <c:f>ملخص!$D$39:$I$39</c:f>
              <c:numCache>
                <c:formatCode>_(* #,##0_);_(* \(#,##0\);_(* "-"??_);_(@_)</c:formatCode>
                <c:ptCount val="6"/>
                <c:pt idx="1">
                  <c:v>-33.398683117474548</c:v>
                </c:pt>
                <c:pt idx="2">
                  <c:v>599.44350029282828</c:v>
                </c:pt>
                <c:pt idx="3">
                  <c:v>1865.0098849531325</c:v>
                </c:pt>
                <c:pt idx="4">
                  <c:v>3455.3743482245472</c:v>
                </c:pt>
                <c:pt idx="5">
                  <c:v>5415.9592789959624</c:v>
                </c:pt>
              </c:numCache>
            </c:numRef>
          </c:val>
          <c:smooth val="0"/>
          <c:extLst>
            <c:ext xmlns:c16="http://schemas.microsoft.com/office/drawing/2014/chart" uri="{C3380CC4-5D6E-409C-BE32-E72D297353CC}">
              <c16:uniqueId val="{00000001-D370-4579-9941-9D10190380C3}"/>
            </c:ext>
          </c:extLst>
        </c:ser>
        <c:dLbls>
          <c:showLegendKey val="0"/>
          <c:showVal val="0"/>
          <c:showCatName val="0"/>
          <c:showSerName val="0"/>
          <c:showPercent val="0"/>
          <c:showBubbleSize val="0"/>
        </c:dLbls>
        <c:smooth val="0"/>
        <c:axId val="250179024"/>
        <c:axId val="250179584"/>
      </c:lineChart>
      <c:catAx>
        <c:axId val="250179024"/>
        <c:scaling>
          <c:orientation val="maxMin"/>
        </c:scaling>
        <c:delete val="0"/>
        <c:axPos val="b"/>
        <c:numFmt formatCode="General" sourceLinked="1"/>
        <c:majorTickMark val="out"/>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ar-SA"/>
          </a:p>
        </c:txPr>
        <c:crossAx val="250179584"/>
        <c:crosses val="autoZero"/>
        <c:auto val="1"/>
        <c:lblAlgn val="ctr"/>
        <c:lblOffset val="100"/>
        <c:noMultiLvlLbl val="0"/>
      </c:catAx>
      <c:valAx>
        <c:axId val="250179584"/>
        <c:scaling>
          <c:orientation val="minMax"/>
        </c:scaling>
        <c:delete val="0"/>
        <c:axPos val="r"/>
        <c:majorGridlines>
          <c:spPr>
            <a:ln w="9525" cap="flat" cmpd="sng" algn="ctr">
              <a:solidFill>
                <a:schemeClr val="tx2">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ar-SA"/>
          </a:p>
        </c:txPr>
        <c:crossAx val="250179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ar-SA"/>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ar-S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0">
  <cs:axisTitle>
    <cs:lnRef idx="0"/>
    <cs:fillRef idx="0"/>
    <cs:effectRef idx="0"/>
    <cs:fontRef idx="minor">
      <a:schemeClr val="dk1">
        <a:lumMod val="65000"/>
        <a:lumOff val="35000"/>
      </a:schemeClr>
    </cs:fontRef>
    <cs:defRPr sz="900" kern="1200" cap="all"/>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b="0" kern="1200" spc="20" baseline="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0"/>
    <cs:effectRef idx="0"/>
    <cs:fontRef idx="minor">
      <a:schemeClr val="dk1"/>
    </cs:fontRef>
    <cs:spPr>
      <a:ln w="22225" cap="rnd" cmpd="sng" algn="ctr">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cap="flat" cmpd="sng" algn="ctr">
        <a:solidFill>
          <a:schemeClr val="phClr"/>
        </a:solidFill>
        <a:round/>
      </a:ln>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dk1">
            <a:lumMod val="65000"/>
            <a:lumOff val="35000"/>
          </a:schemeClr>
        </a:solidFill>
      </a:ln>
    </cs:spPr>
  </cs:downBar>
  <cs:dropLine>
    <cs:lnRef idx="0"/>
    <cs:fillRef idx="0"/>
    <cs:effectRef idx="0"/>
    <cs:fontRef idx="minor">
      <a:schemeClr val="dk1"/>
    </cs:fontRef>
    <cs:spPr>
      <a:ln w="9525" cap="flat" cmpd="sng" algn="ctr">
        <a:solidFill>
          <a:schemeClr val="dk1">
            <a:lumMod val="35000"/>
            <a:lumOff val="65000"/>
            <a:alpha val="33000"/>
          </a:schemeClr>
        </a:solidFill>
        <a:round/>
      </a:ln>
    </cs:spPr>
  </cs:dropLine>
  <cs:errorBar>
    <cs:lnRef idx="0"/>
    <cs:fillRef idx="0"/>
    <cs:effectRef idx="0"/>
    <cs:fontRef idx="minor">
      <a:schemeClr val="dk1"/>
    </cs:fontRef>
    <cs:spPr>
      <a:ln w="9525">
        <a:solidFill>
          <a:schemeClr val="dk1">
            <a:lumMod val="65000"/>
            <a:lumOff val="35000"/>
          </a:schemeClr>
        </a:solidFill>
      </a:ln>
    </cs:spPr>
  </cs:errorBar>
  <cs:floor>
    <cs:lnRef idx="0"/>
    <cs:fillRef idx="0"/>
    <cs:effectRef idx="0"/>
    <cs:fontRef idx="minor">
      <a:schemeClr val="dk1"/>
    </cs:fontRef>
  </cs:floor>
  <cs:gridlineMajor>
    <cs:lnRef idx="0"/>
    <cs:fillRef idx="0"/>
    <cs:effectRef idx="0"/>
    <cs:fontRef idx="minor">
      <a:schemeClr val="dk1"/>
    </cs:fontRef>
    <cs:spPr>
      <a:ln>
        <a:solidFill>
          <a:schemeClr val="dk1">
            <a:lumMod val="15000"/>
            <a:lumOff val="85000"/>
          </a:schemeClr>
        </a:solidFill>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35000"/>
            <a:lumOff val="65000"/>
          </a:schemeClr>
        </a:solidFill>
      </a:ln>
    </cs:spPr>
  </cs:hiLoLine>
  <cs:leaderLine>
    <cs:lnRef idx="0"/>
    <cs:fillRef idx="0"/>
    <cs:effectRef idx="0"/>
    <cs:fontRef idx="minor">
      <a:schemeClr val="dk1"/>
    </cs:fontRef>
    <cs:spPr>
      <a:ln w="9525">
        <a:solidFill>
          <a:schemeClr val="dk1">
            <a:lumMod val="35000"/>
            <a:lumOff val="65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gradFill>
        <a:gsLst>
          <a:gs pos="100000">
            <a:schemeClr val="lt1">
              <a:lumMod val="95000"/>
            </a:schemeClr>
          </a:gs>
          <a:gs pos="0">
            <a:schemeClr val="lt1"/>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35000"/>
            <a:lumOff val="65000"/>
          </a:schemeClr>
        </a:solidFill>
        <a:prstDash val="dash"/>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65000"/>
        <a:lumOff val="35000"/>
      </a:schemeClr>
    </cs:fontRef>
    <cs:defRPr sz="900" kern="1200" spc="20" baseline="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9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26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22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7.xml><?xml version="1.0" encoding="utf-8"?>
<cs:chartStyle xmlns:cs="http://schemas.microsoft.com/office/drawing/2012/chartStyle" xmlns:a="http://schemas.openxmlformats.org/drawingml/2006/main" id="26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8.xml><?xml version="1.0" encoding="utf-8"?>
<cs:chartStyle xmlns:cs="http://schemas.microsoft.com/office/drawing/2012/chartStyle" xmlns:a="http://schemas.openxmlformats.org/drawingml/2006/main" id="26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31">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9.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oneCellAnchor>
    <xdr:from>
      <xdr:col>8</xdr:col>
      <xdr:colOff>247650</xdr:colOff>
      <xdr:row>27</xdr:row>
      <xdr:rowOff>47625</xdr:rowOff>
    </xdr:from>
    <xdr:ext cx="1533525" cy="523875"/>
    <xdr:sp macro="" textlink="">
      <xdr:nvSpPr>
        <xdr:cNvPr id="2" name="Rectangle: Rounded Corners 1">
          <a:extLst>
            <a:ext uri="{FF2B5EF4-FFF2-40B4-BE49-F238E27FC236}">
              <a16:creationId xmlns:a16="http://schemas.microsoft.com/office/drawing/2014/main" id="{8ED0614B-9791-4193-8D92-8AAE1D28084F}"/>
            </a:ext>
          </a:extLst>
        </xdr:cNvPr>
        <xdr:cNvSpPr/>
      </xdr:nvSpPr>
      <xdr:spPr>
        <a:xfrm>
          <a:off x="1216025" y="5762625"/>
          <a:ext cx="1533525" cy="523875"/>
        </a:xfrm>
        <a:prstGeom prst="roundRect">
          <a:avLst/>
        </a:prstGeom>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cap="flat" cmpd="sng" algn="ctr">
          <a:solidFill>
            <a:schemeClr val="accent2">
              <a:shade val="95000"/>
              <a:satMod val="105000"/>
            </a:schemeClr>
          </a:solidFill>
          <a:prstDash val="solid"/>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lvl="0" algn="ctr" rtl="1"/>
          <a:r>
            <a:rPr lang="ar-SA" sz="1100" b="1"/>
            <a:t>نسخة للعرض فقط</a:t>
          </a:r>
          <a:endParaRPr lang="en-US" sz="1100" b="1"/>
        </a:p>
      </xdr:txBody>
    </xdr:sp>
    <xdr:clientData fLocksWithSheet="0"/>
  </xdr:oneCellAnchor>
  <xdr:twoCellAnchor editAs="oneCell">
    <xdr:from>
      <xdr:col>5</xdr:col>
      <xdr:colOff>449580</xdr:colOff>
      <xdr:row>5</xdr:row>
      <xdr:rowOff>91440</xdr:rowOff>
    </xdr:from>
    <xdr:to>
      <xdr:col>11</xdr:col>
      <xdr:colOff>236220</xdr:colOff>
      <xdr:row>14</xdr:row>
      <xdr:rowOff>206043</xdr:rowOff>
    </xdr:to>
    <xdr:pic>
      <xdr:nvPicPr>
        <xdr:cNvPr id="5" name="صورة 4">
          <a:extLst>
            <a:ext uri="{FF2B5EF4-FFF2-40B4-BE49-F238E27FC236}">
              <a16:creationId xmlns:a16="http://schemas.microsoft.com/office/drawing/2014/main" id="{B41251FE-E1E0-986B-94EE-CA14B33C6C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620" y="1638300"/>
          <a:ext cx="3489960" cy="16995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123825</xdr:colOff>
      <xdr:row>15</xdr:row>
      <xdr:rowOff>9525</xdr:rowOff>
    </xdr:from>
    <xdr:ext cx="5429250" cy="3333750"/>
    <xdr:pic>
      <xdr:nvPicPr>
        <xdr:cNvPr id="2" name="image1.png">
          <a:extLst>
            <a:ext uri="{FF2B5EF4-FFF2-40B4-BE49-F238E27FC236}">
              <a16:creationId xmlns:a16="http://schemas.microsoft.com/office/drawing/2014/main" id="{928FED7B-5974-4191-8477-863133D8C879}"/>
            </a:ext>
          </a:extLst>
        </xdr:cNvPr>
        <xdr:cNvPicPr preferRelativeResize="0"/>
      </xdr:nvPicPr>
      <xdr:blipFill>
        <a:blip xmlns:r="http://schemas.openxmlformats.org/officeDocument/2006/relationships" r:embed="rId1" cstate="print"/>
        <a:stretch>
          <a:fillRect/>
        </a:stretch>
      </xdr:blipFill>
      <xdr:spPr>
        <a:xfrm>
          <a:off x="16529224625" y="4270375"/>
          <a:ext cx="5429250" cy="33337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xdr:from>
      <xdr:col>5</xdr:col>
      <xdr:colOff>18145</xdr:colOff>
      <xdr:row>113</xdr:row>
      <xdr:rowOff>67129</xdr:rowOff>
    </xdr:from>
    <xdr:to>
      <xdr:col>13</xdr:col>
      <xdr:colOff>63654</xdr:colOff>
      <xdr:row>122</xdr:row>
      <xdr:rowOff>229053</xdr:rowOff>
    </xdr:to>
    <xdr:graphicFrame macro="">
      <xdr:nvGraphicFramePr>
        <xdr:cNvPr id="5" name="Chart 4">
          <a:extLst>
            <a:ext uri="{FF2B5EF4-FFF2-40B4-BE49-F238E27FC236}">
              <a16:creationId xmlns:a16="http://schemas.microsoft.com/office/drawing/2014/main" i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2</xdr:col>
      <xdr:colOff>138241</xdr:colOff>
      <xdr:row>182</xdr:row>
      <xdr:rowOff>88804</xdr:rowOff>
    </xdr:from>
    <xdr:to>
      <xdr:col>14</xdr:col>
      <xdr:colOff>1040342</xdr:colOff>
      <xdr:row>197</xdr:row>
      <xdr:rowOff>188703</xdr:rowOff>
    </xdr:to>
    <xdr:graphicFrame macro="">
      <xdr:nvGraphicFramePr>
        <xdr:cNvPr id="8" name="Chart 7" title="الدخل">
          <a:extLst>
            <a:ext uri="{FF2B5EF4-FFF2-40B4-BE49-F238E27FC236}">
              <a16:creationId xmlns:a16="http://schemas.microsoft.com/office/drawing/2014/main" id="{00000000-0008-0000-0200-000008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3</xdr:col>
      <xdr:colOff>8986</xdr:colOff>
      <xdr:row>330</xdr:row>
      <xdr:rowOff>93230</xdr:rowOff>
    </xdr:from>
    <xdr:to>
      <xdr:col>14</xdr:col>
      <xdr:colOff>1094015</xdr:colOff>
      <xdr:row>347</xdr:row>
      <xdr:rowOff>74180</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8985</xdr:colOff>
      <xdr:row>348</xdr:row>
      <xdr:rowOff>11112</xdr:rowOff>
    </xdr:from>
    <xdr:to>
      <xdr:col>14</xdr:col>
      <xdr:colOff>1142999</xdr:colOff>
      <xdr:row>365</xdr:row>
      <xdr:rowOff>143740</xdr:rowOff>
    </xdr:to>
    <xdr:graphicFrame macro="">
      <xdr:nvGraphicFramePr>
        <xdr:cNvPr id="11" name="Chart 10">
          <a:extLst>
            <a:ext uri="{FF2B5EF4-FFF2-40B4-BE49-F238E27FC236}">
              <a16:creationId xmlns:a16="http://schemas.microsoft.com/office/drawing/2014/main" id="{00000000-0008-0000-02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8986</xdr:colOff>
      <xdr:row>133</xdr:row>
      <xdr:rowOff>66097</xdr:rowOff>
    </xdr:from>
    <xdr:to>
      <xdr:col>14</xdr:col>
      <xdr:colOff>1058759</xdr:colOff>
      <xdr:row>147</xdr:row>
      <xdr:rowOff>899</xdr:rowOff>
    </xdr:to>
    <xdr:graphicFrame macro="">
      <xdr:nvGraphicFramePr>
        <xdr:cNvPr id="14" name="Chart 13">
          <a:extLst>
            <a:ext uri="{FF2B5EF4-FFF2-40B4-BE49-F238E27FC236}">
              <a16:creationId xmlns:a16="http://schemas.microsoft.com/office/drawing/2014/main" id="{00000000-0008-0000-02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0</xdr:colOff>
      <xdr:row>366</xdr:row>
      <xdr:rowOff>178253</xdr:rowOff>
    </xdr:from>
    <xdr:to>
      <xdr:col>9</xdr:col>
      <xdr:colOff>381000</xdr:colOff>
      <xdr:row>390</xdr:row>
      <xdr:rowOff>84817</xdr:rowOff>
    </xdr:to>
    <xdr:graphicFrame macro="">
      <xdr:nvGraphicFramePr>
        <xdr:cNvPr id="15" name="Chart 14" title="تحليل المصاريف">
          <a:extLst>
            <a:ext uri="{FF2B5EF4-FFF2-40B4-BE49-F238E27FC236}">
              <a16:creationId xmlns:a16="http://schemas.microsoft.com/office/drawing/2014/main" id="{00000000-0008-0000-02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9</xdr:col>
      <xdr:colOff>589643</xdr:colOff>
      <xdr:row>366</xdr:row>
      <xdr:rowOff>172356</xdr:rowOff>
    </xdr:from>
    <xdr:to>
      <xdr:col>14</xdr:col>
      <xdr:colOff>1097644</xdr:colOff>
      <xdr:row>390</xdr:row>
      <xdr:rowOff>108857</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17972</xdr:colOff>
      <xdr:row>310</xdr:row>
      <xdr:rowOff>239032</xdr:rowOff>
    </xdr:from>
    <xdr:to>
      <xdr:col>15</xdr:col>
      <xdr:colOff>12247</xdr:colOff>
      <xdr:row>329</xdr:row>
      <xdr:rowOff>19049</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72572</xdr:colOff>
      <xdr:row>69</xdr:row>
      <xdr:rowOff>166687</xdr:rowOff>
    </xdr:from>
    <xdr:to>
      <xdr:col>15</xdr:col>
      <xdr:colOff>72571</xdr:colOff>
      <xdr:row>89</xdr:row>
      <xdr:rowOff>81642</xdr:rowOff>
    </xdr:to>
    <xdr:graphicFrame macro="">
      <xdr:nvGraphicFramePr>
        <xdr:cNvPr id="10" name="Chart 9">
          <a:extLst>
            <a:ext uri="{FF2B5EF4-FFF2-40B4-BE49-F238E27FC236}">
              <a16:creationId xmlns:a16="http://schemas.microsoft.com/office/drawing/2014/main" id="{61C3C2A2-7197-4BF3-9611-DF6057B572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18</xdr:col>
      <xdr:colOff>1</xdr:colOff>
      <xdr:row>0</xdr:row>
      <xdr:rowOff>45358</xdr:rowOff>
    </xdr:from>
    <xdr:to>
      <xdr:col>20</xdr:col>
      <xdr:colOff>961572</xdr:colOff>
      <xdr:row>0</xdr:row>
      <xdr:rowOff>562429</xdr:rowOff>
    </xdr:to>
    <xdr:sp macro="" textlink="">
      <xdr:nvSpPr>
        <xdr:cNvPr id="4" name="Arrow: Right 3">
          <a:extLst>
            <a:ext uri="{FF2B5EF4-FFF2-40B4-BE49-F238E27FC236}">
              <a16:creationId xmlns:a16="http://schemas.microsoft.com/office/drawing/2014/main" id="{6E1323B1-F2C0-42E6-A014-C5F329378C7D}"/>
            </a:ext>
          </a:extLst>
        </xdr:cNvPr>
        <xdr:cNvSpPr/>
      </xdr:nvSpPr>
      <xdr:spPr>
        <a:xfrm>
          <a:off x="5198137214" y="45358"/>
          <a:ext cx="2013857" cy="517071"/>
        </a:xfrm>
        <a:prstGeom prst="rightArrow">
          <a:avLst>
            <a:gd name="adj1" fmla="val 71052"/>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1"/>
          <a:r>
            <a:rPr lang="ar-SA" sz="1400" b="1"/>
            <a:t>اختر </a:t>
          </a:r>
          <a:r>
            <a:rPr lang="en-US" sz="1400" b="1"/>
            <a:t>YES</a:t>
          </a:r>
          <a:r>
            <a:rPr lang="en-US" sz="1400" b="1" baseline="0"/>
            <a:t> </a:t>
          </a:r>
          <a:r>
            <a:rPr lang="ar-SA" sz="1400" b="1" baseline="0"/>
            <a:t> لتحديد الطباعة</a:t>
          </a:r>
          <a:endParaRPr lang="en-US" sz="1400" b="1"/>
        </a:p>
      </xdr:txBody>
    </xdr:sp>
    <xdr:clientData/>
  </xdr:twoCellAnchor>
</xdr:wsDr>
</file>

<file path=xl/drawings/drawing4.xml><?xml version="1.0" encoding="utf-8"?>
<c:userShapes xmlns:c="http://schemas.openxmlformats.org/drawingml/2006/chart">
  <cdr:relSizeAnchor xmlns:cdr="http://schemas.openxmlformats.org/drawingml/2006/chartDrawing">
    <cdr:from>
      <cdr:x>0.80579</cdr:x>
      <cdr:y>0.0463</cdr:y>
    </cdr:from>
    <cdr:to>
      <cdr:x>0.93802</cdr:x>
      <cdr:y>0.26852</cdr:y>
    </cdr:to>
    <cdr:sp macro="" textlink="">
      <cdr:nvSpPr>
        <cdr:cNvPr id="2" name="TextBox 1"/>
        <cdr:cNvSpPr txBox="1"/>
      </cdr:nvSpPr>
      <cdr:spPr>
        <a:xfrm xmlns:a="http://schemas.openxmlformats.org/drawingml/2006/main">
          <a:off x="5572125" y="1905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userShapes>
</file>

<file path=xl/drawings/drawing5.xml><?xml version="1.0" encoding="utf-8"?>
<c:userShapes xmlns:c="http://schemas.openxmlformats.org/drawingml/2006/chart">
  <cdr:relSizeAnchor xmlns:cdr="http://schemas.openxmlformats.org/drawingml/2006/chartDrawing">
    <cdr:from>
      <cdr:x>0.74785</cdr:x>
      <cdr:y>0.03193</cdr:y>
    </cdr:from>
    <cdr:to>
      <cdr:x>1</cdr:x>
      <cdr:y>0.14804</cdr:y>
    </cdr:to>
    <cdr:sp macro="" textlink="">
      <cdr:nvSpPr>
        <cdr:cNvPr id="2" name="TextBox 1"/>
        <cdr:cNvSpPr txBox="1"/>
      </cdr:nvSpPr>
      <cdr:spPr>
        <a:xfrm xmlns:a="http://schemas.openxmlformats.org/drawingml/2006/main">
          <a:off x="5249874" y="104775"/>
          <a:ext cx="1770051" cy="381000"/>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rtl="0"/>
          <a:endParaRPr lang="en-US" sz="2400">
            <a:effectLst/>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10</xdr:col>
      <xdr:colOff>9071</xdr:colOff>
      <xdr:row>16</xdr:row>
      <xdr:rowOff>9071</xdr:rowOff>
    </xdr:from>
    <xdr:to>
      <xdr:col>15</xdr:col>
      <xdr:colOff>662214</xdr:colOff>
      <xdr:row>25</xdr:row>
      <xdr:rowOff>9072</xdr:rowOff>
    </xdr:to>
    <xdr:graphicFrame macro="">
      <xdr:nvGraphicFramePr>
        <xdr:cNvPr id="2" name="Chart 1">
          <a:extLst>
            <a:ext uri="{FF2B5EF4-FFF2-40B4-BE49-F238E27FC236}">
              <a16:creationId xmlns:a16="http://schemas.microsoft.com/office/drawing/2014/main" id="{5EAD1A90-098C-4B52-A835-D31E5B2699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1280</xdr:colOff>
      <xdr:row>26</xdr:row>
      <xdr:rowOff>163284</xdr:rowOff>
    </xdr:from>
    <xdr:to>
      <xdr:col>15</xdr:col>
      <xdr:colOff>662214</xdr:colOff>
      <xdr:row>34</xdr:row>
      <xdr:rowOff>9070</xdr:rowOff>
    </xdr:to>
    <xdr:graphicFrame macro="">
      <xdr:nvGraphicFramePr>
        <xdr:cNvPr id="3" name="Chart 2">
          <a:extLst>
            <a:ext uri="{FF2B5EF4-FFF2-40B4-BE49-F238E27FC236}">
              <a16:creationId xmlns:a16="http://schemas.microsoft.com/office/drawing/2014/main" id="{DD3C17B3-12C5-4F35-899B-C2FF619D2B0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1"/>
  <sheetViews>
    <sheetView showGridLines="0" rightToLeft="1" tabSelected="1" zoomScaleNormal="100" workbookViewId="0">
      <selection activeCell="C25" sqref="C25"/>
    </sheetView>
  </sheetViews>
  <sheetFormatPr defaultColWidth="0" defaultRowHeight="15" customHeight="1" zeroHeight="1" x14ac:dyDescent="0.3"/>
  <cols>
    <col min="1" max="1" width="9" style="342" customWidth="1"/>
    <col min="2" max="2" width="9.09765625" style="342" customWidth="1"/>
    <col min="3" max="3" width="66.3984375" style="342" customWidth="1"/>
    <col min="4" max="11" width="8.09765625" style="342" customWidth="1"/>
    <col min="12" max="13" width="9.09765625" style="342" customWidth="1"/>
    <col min="14" max="17" width="9.09765625" style="342" hidden="1" customWidth="1"/>
    <col min="18" max="16384" width="14.3984375" style="342" hidden="1"/>
  </cols>
  <sheetData>
    <row r="1" spans="1:17" ht="34.5" customHeight="1" thickBot="1" x14ac:dyDescent="0.35">
      <c r="A1" s="341"/>
      <c r="B1" s="341"/>
      <c r="C1" s="341"/>
      <c r="D1" s="341"/>
      <c r="E1" s="341"/>
      <c r="F1" s="341"/>
      <c r="G1" s="341"/>
      <c r="H1" s="341"/>
      <c r="I1" s="341"/>
      <c r="J1" s="341"/>
      <c r="K1" s="341"/>
      <c r="L1" s="341"/>
      <c r="M1" s="341"/>
      <c r="N1" s="341"/>
      <c r="O1" s="341"/>
      <c r="P1" s="341"/>
      <c r="Q1" s="341"/>
    </row>
    <row r="2" spans="1:17" ht="5.25" customHeight="1" thickTop="1" x14ac:dyDescent="0.3">
      <c r="A2" s="341"/>
      <c r="B2" s="454"/>
      <c r="C2" s="455"/>
      <c r="D2" s="455"/>
      <c r="E2" s="455"/>
      <c r="F2" s="455"/>
      <c r="G2" s="455"/>
      <c r="H2" s="455"/>
      <c r="I2" s="455"/>
      <c r="J2" s="455"/>
      <c r="K2" s="455"/>
      <c r="L2" s="456"/>
      <c r="M2" s="341"/>
      <c r="N2" s="341"/>
      <c r="O2" s="341"/>
      <c r="P2" s="341"/>
      <c r="Q2" s="341"/>
    </row>
    <row r="3" spans="1:17" ht="47.25" customHeight="1" thickBot="1" x14ac:dyDescent="0.35">
      <c r="A3" s="341"/>
      <c r="B3" s="457" t="s">
        <v>113</v>
      </c>
      <c r="C3" s="458"/>
      <c r="D3" s="458"/>
      <c r="E3" s="458"/>
      <c r="F3" s="458"/>
      <c r="G3" s="458"/>
      <c r="H3" s="458"/>
      <c r="I3" s="458"/>
      <c r="J3" s="458"/>
      <c r="K3" s="458"/>
      <c r="L3" s="459"/>
      <c r="M3" s="341"/>
      <c r="N3" s="341"/>
      <c r="O3" s="341"/>
      <c r="P3" s="341"/>
      <c r="Q3" s="341"/>
    </row>
    <row r="4" spans="1:17" ht="8.25" customHeight="1" thickTop="1" x14ac:dyDescent="0.3">
      <c r="A4" s="341"/>
      <c r="B4" s="343"/>
      <c r="C4" s="344"/>
      <c r="D4" s="344"/>
      <c r="E4" s="344"/>
      <c r="F4" s="344"/>
      <c r="G4" s="344"/>
      <c r="H4" s="344"/>
      <c r="I4" s="344"/>
      <c r="J4" s="344"/>
      <c r="K4" s="344"/>
      <c r="L4" s="345"/>
      <c r="M4" s="341"/>
      <c r="N4" s="341"/>
      <c r="O4" s="341"/>
      <c r="P4" s="341"/>
      <c r="Q4" s="341"/>
    </row>
    <row r="5" spans="1:17" ht="28.5" customHeight="1" x14ac:dyDescent="0.3">
      <c r="A5" s="341"/>
      <c r="B5" s="343"/>
      <c r="C5" s="346" t="s">
        <v>210</v>
      </c>
      <c r="D5" s="347"/>
      <c r="E5" s="347"/>
      <c r="F5" s="347"/>
      <c r="G5" s="347"/>
      <c r="H5" s="347"/>
      <c r="I5" s="347"/>
      <c r="J5" s="347"/>
      <c r="K5" s="348"/>
      <c r="L5" s="345"/>
      <c r="M5" s="341"/>
      <c r="N5" s="341"/>
      <c r="O5" s="341"/>
      <c r="P5" s="341"/>
      <c r="Q5" s="341"/>
    </row>
    <row r="6" spans="1:17" ht="13.5" customHeight="1" x14ac:dyDescent="0.3">
      <c r="A6" s="341"/>
      <c r="B6" s="343"/>
      <c r="C6" s="460" t="s">
        <v>211</v>
      </c>
      <c r="D6" s="452"/>
      <c r="E6" s="452"/>
      <c r="F6" s="452"/>
      <c r="G6" s="452"/>
      <c r="H6" s="452"/>
      <c r="I6" s="452"/>
      <c r="J6" s="452"/>
      <c r="K6" s="452"/>
      <c r="L6" s="345"/>
      <c r="M6" s="341"/>
      <c r="N6" s="341"/>
      <c r="O6" s="341"/>
      <c r="P6" s="341"/>
      <c r="Q6" s="341"/>
    </row>
    <row r="7" spans="1:17" ht="13.5" customHeight="1" x14ac:dyDescent="0.3">
      <c r="A7" s="341"/>
      <c r="B7" s="343"/>
      <c r="C7" s="344"/>
      <c r="D7" s="349"/>
      <c r="E7" s="349"/>
      <c r="F7" s="349"/>
      <c r="G7" s="349"/>
      <c r="H7" s="349"/>
      <c r="I7" s="349"/>
      <c r="J7" s="349"/>
      <c r="K7" s="349"/>
      <c r="L7" s="345"/>
      <c r="M7" s="341"/>
      <c r="N7" s="341"/>
      <c r="O7" s="341"/>
      <c r="P7" s="341"/>
      <c r="Q7" s="341"/>
    </row>
    <row r="8" spans="1:17" ht="13.5" customHeight="1" x14ac:dyDescent="0.3">
      <c r="A8" s="341"/>
      <c r="B8" s="343"/>
      <c r="C8" s="350" t="s">
        <v>212</v>
      </c>
      <c r="D8" s="349"/>
      <c r="E8" s="349"/>
      <c r="F8" s="349"/>
      <c r="G8" s="349"/>
      <c r="H8" s="349"/>
      <c r="I8" s="349"/>
      <c r="J8" s="349"/>
      <c r="K8" s="349"/>
      <c r="L8" s="345"/>
      <c r="M8" s="341"/>
      <c r="N8" s="341"/>
      <c r="O8" s="341"/>
      <c r="P8" s="341"/>
      <c r="Q8" s="341"/>
    </row>
    <row r="9" spans="1:17" ht="13.5" customHeight="1" x14ac:dyDescent="0.3">
      <c r="A9" s="341"/>
      <c r="B9" s="343" t="s">
        <v>21</v>
      </c>
      <c r="C9" s="351" t="s">
        <v>213</v>
      </c>
      <c r="D9" s="351"/>
      <c r="E9" s="349"/>
      <c r="F9" s="349"/>
      <c r="G9" s="349"/>
      <c r="H9" s="349"/>
      <c r="I9" s="349"/>
      <c r="J9" s="349"/>
      <c r="K9" s="349"/>
      <c r="L9" s="345"/>
      <c r="M9" s="341"/>
      <c r="N9" s="341"/>
      <c r="O9" s="341"/>
      <c r="P9" s="341"/>
      <c r="Q9" s="341"/>
    </row>
    <row r="10" spans="1:17" ht="13.5" customHeight="1" x14ac:dyDescent="0.3">
      <c r="A10" s="341"/>
      <c r="B10" s="343" t="s">
        <v>21</v>
      </c>
      <c r="C10" s="351" t="s">
        <v>214</v>
      </c>
      <c r="D10" s="351"/>
      <c r="E10" s="349"/>
      <c r="F10" s="349"/>
      <c r="G10" s="349"/>
      <c r="H10" s="349"/>
      <c r="I10" s="349"/>
      <c r="J10" s="349"/>
      <c r="K10" s="349"/>
      <c r="L10" s="345"/>
      <c r="M10" s="341"/>
      <c r="N10" s="341"/>
      <c r="O10" s="341"/>
      <c r="P10" s="341"/>
      <c r="Q10" s="341"/>
    </row>
    <row r="11" spans="1:17" ht="13.5" customHeight="1" x14ac:dyDescent="0.3">
      <c r="A11" s="341"/>
      <c r="B11" s="343" t="s">
        <v>21</v>
      </c>
      <c r="C11" s="351" t="s">
        <v>215</v>
      </c>
      <c r="D11" s="351"/>
      <c r="E11" s="349"/>
      <c r="F11" s="344"/>
      <c r="G11" s="349"/>
      <c r="H11" s="349"/>
      <c r="I11" s="349"/>
      <c r="J11" s="349"/>
      <c r="K11" s="349"/>
      <c r="L11" s="345"/>
      <c r="M11" s="341"/>
      <c r="N11" s="341"/>
      <c r="O11" s="341"/>
      <c r="P11" s="341"/>
      <c r="Q11" s="341"/>
    </row>
    <row r="12" spans="1:17" ht="13.5" customHeight="1" x14ac:dyDescent="0.3">
      <c r="A12" s="341"/>
      <c r="B12" s="343" t="s">
        <v>21</v>
      </c>
      <c r="C12" s="351" t="s">
        <v>216</v>
      </c>
      <c r="D12" s="351"/>
      <c r="E12" s="349"/>
      <c r="F12" s="349"/>
      <c r="G12" s="349"/>
      <c r="H12" s="349"/>
      <c r="I12" s="349"/>
      <c r="J12" s="349"/>
      <c r="K12" s="349"/>
      <c r="L12" s="345"/>
      <c r="M12" s="341"/>
      <c r="N12" s="341"/>
      <c r="O12" s="341"/>
      <c r="P12" s="341"/>
      <c r="Q12" s="341"/>
    </row>
    <row r="13" spans="1:17" ht="13.5" customHeight="1" x14ac:dyDescent="0.3">
      <c r="A13" s="341"/>
      <c r="B13" s="343" t="s">
        <v>21</v>
      </c>
      <c r="C13" s="351" t="s">
        <v>217</v>
      </c>
      <c r="D13" s="351"/>
      <c r="E13" s="349"/>
      <c r="F13" s="349"/>
      <c r="G13" s="349"/>
      <c r="H13" s="349"/>
      <c r="I13" s="349"/>
      <c r="J13" s="349"/>
      <c r="K13" s="349"/>
      <c r="L13" s="345"/>
      <c r="M13" s="341"/>
      <c r="N13" s="341"/>
      <c r="O13" s="341"/>
      <c r="P13" s="341"/>
      <c r="Q13" s="341"/>
    </row>
    <row r="14" spans="1:17" ht="19.5" customHeight="1" x14ac:dyDescent="0.3">
      <c r="A14" s="341"/>
      <c r="B14" s="343"/>
      <c r="C14" s="344"/>
      <c r="D14" s="461"/>
      <c r="E14" s="452"/>
      <c r="F14" s="452"/>
      <c r="G14" s="452"/>
      <c r="H14" s="452"/>
      <c r="I14" s="452"/>
      <c r="J14" s="452"/>
      <c r="K14" s="452"/>
      <c r="L14" s="345"/>
      <c r="M14" s="341"/>
      <c r="N14" s="341"/>
      <c r="O14" s="341"/>
      <c r="P14" s="341"/>
      <c r="Q14" s="341"/>
    </row>
    <row r="15" spans="1:17" ht="19.5" customHeight="1" x14ac:dyDescent="0.3">
      <c r="A15" s="341"/>
      <c r="B15" s="343"/>
      <c r="C15" s="350" t="s">
        <v>218</v>
      </c>
      <c r="D15" s="349"/>
      <c r="E15" s="349"/>
      <c r="F15" s="344"/>
      <c r="G15" s="462"/>
      <c r="H15" s="452"/>
      <c r="I15" s="452"/>
      <c r="J15" s="349"/>
      <c r="K15" s="349"/>
      <c r="L15" s="345"/>
      <c r="M15" s="341"/>
      <c r="N15" s="341"/>
      <c r="O15" s="341"/>
      <c r="P15" s="341"/>
      <c r="Q15" s="341"/>
    </row>
    <row r="16" spans="1:17" ht="13.5" customHeight="1" x14ac:dyDescent="0.3">
      <c r="A16" s="341"/>
      <c r="B16" s="343" t="s">
        <v>21</v>
      </c>
      <c r="C16" s="352" t="s">
        <v>219</v>
      </c>
      <c r="D16" s="349"/>
      <c r="E16" s="349"/>
      <c r="F16" s="344"/>
      <c r="G16" s="352"/>
      <c r="H16" s="349"/>
      <c r="I16" s="349"/>
      <c r="J16" s="349"/>
      <c r="K16" s="349"/>
      <c r="L16" s="345"/>
      <c r="M16" s="341"/>
      <c r="N16" s="341"/>
      <c r="O16" s="341"/>
      <c r="P16" s="341"/>
      <c r="Q16" s="341"/>
    </row>
    <row r="17" spans="1:17" ht="13.5" customHeight="1" x14ac:dyDescent="0.3">
      <c r="A17" s="341"/>
      <c r="B17" s="343" t="s">
        <v>21</v>
      </c>
      <c r="C17" s="352" t="s">
        <v>220</v>
      </c>
      <c r="D17" s="349"/>
      <c r="E17" s="349"/>
      <c r="F17" s="344"/>
      <c r="G17" s="349"/>
      <c r="H17" s="349"/>
      <c r="I17" s="349"/>
      <c r="J17" s="349"/>
      <c r="K17" s="349"/>
      <c r="L17" s="345"/>
      <c r="M17" s="341"/>
      <c r="N17" s="341"/>
      <c r="O17" s="341"/>
      <c r="P17" s="341"/>
      <c r="Q17" s="341"/>
    </row>
    <row r="18" spans="1:17" ht="13.5" customHeight="1" x14ac:dyDescent="0.3">
      <c r="A18" s="341"/>
      <c r="B18" s="343" t="s">
        <v>21</v>
      </c>
      <c r="C18" s="352" t="s">
        <v>221</v>
      </c>
      <c r="D18" s="349"/>
      <c r="E18" s="349"/>
      <c r="F18" s="344"/>
      <c r="G18" s="349"/>
      <c r="H18" s="349"/>
      <c r="I18" s="349"/>
      <c r="J18" s="349"/>
      <c r="K18" s="349"/>
      <c r="L18" s="345"/>
      <c r="M18" s="341"/>
      <c r="N18" s="341"/>
      <c r="O18" s="341"/>
      <c r="P18" s="341"/>
      <c r="Q18" s="341"/>
    </row>
    <row r="19" spans="1:17" ht="13.5" customHeight="1" x14ac:dyDescent="0.3">
      <c r="A19" s="341"/>
      <c r="B19" s="343" t="s">
        <v>21</v>
      </c>
      <c r="C19" s="352" t="s">
        <v>222</v>
      </c>
      <c r="D19" s="349"/>
      <c r="E19" s="349"/>
      <c r="F19" s="344"/>
      <c r="G19" s="349"/>
      <c r="H19" s="349"/>
      <c r="I19" s="349"/>
      <c r="J19" s="349"/>
      <c r="K19" s="349"/>
      <c r="L19" s="345"/>
      <c r="M19" s="341"/>
      <c r="N19" s="341"/>
      <c r="O19" s="341"/>
      <c r="P19" s="341"/>
      <c r="Q19" s="341"/>
    </row>
    <row r="20" spans="1:17" ht="19.5" customHeight="1" x14ac:dyDescent="0.3">
      <c r="A20" s="341"/>
      <c r="B20" s="343" t="s">
        <v>21</v>
      </c>
      <c r="C20" s="352" t="s">
        <v>223</v>
      </c>
      <c r="D20" s="349"/>
      <c r="E20" s="349"/>
      <c r="F20" s="344"/>
      <c r="G20" s="349"/>
      <c r="H20" s="349"/>
      <c r="I20" s="349"/>
      <c r="J20" s="349"/>
      <c r="K20" s="349"/>
      <c r="L20" s="345"/>
      <c r="M20" s="341"/>
      <c r="N20" s="341"/>
      <c r="O20" s="341"/>
      <c r="P20" s="341"/>
      <c r="Q20" s="341"/>
    </row>
    <row r="21" spans="1:17" ht="19.5" customHeight="1" x14ac:dyDescent="0.3">
      <c r="A21" s="341"/>
      <c r="B21" s="343"/>
      <c r="C21" s="352"/>
      <c r="D21" s="349"/>
      <c r="E21" s="349"/>
      <c r="F21" s="344"/>
      <c r="G21" s="349"/>
      <c r="H21" s="349"/>
      <c r="I21" s="349"/>
      <c r="J21" s="349"/>
      <c r="K21" s="349"/>
      <c r="L21" s="345"/>
      <c r="M21" s="341"/>
      <c r="N21" s="341"/>
      <c r="O21" s="341"/>
      <c r="P21" s="341"/>
      <c r="Q21" s="341"/>
    </row>
    <row r="22" spans="1:17" ht="19.5" customHeight="1" x14ac:dyDescent="0.3">
      <c r="A22" s="341"/>
      <c r="B22" s="343"/>
      <c r="C22" s="350" t="s">
        <v>224</v>
      </c>
      <c r="D22" s="353"/>
      <c r="E22" s="353"/>
      <c r="F22" s="344"/>
      <c r="G22" s="349"/>
      <c r="H22" s="349"/>
      <c r="I22" s="349"/>
      <c r="J22" s="349"/>
      <c r="K22" s="349"/>
      <c r="L22" s="345"/>
      <c r="M22" s="341"/>
      <c r="N22" s="341"/>
      <c r="O22" s="341"/>
      <c r="P22" s="341"/>
      <c r="Q22" s="341"/>
    </row>
    <row r="23" spans="1:17" ht="13.5" customHeight="1" x14ac:dyDescent="0.3">
      <c r="A23" s="341"/>
      <c r="B23" s="343" t="s">
        <v>21</v>
      </c>
      <c r="C23" s="352" t="s">
        <v>225</v>
      </c>
      <c r="D23" s="349"/>
      <c r="E23" s="349"/>
      <c r="F23" s="344"/>
      <c r="G23" s="349"/>
      <c r="H23" s="349"/>
      <c r="I23" s="349"/>
      <c r="J23" s="349"/>
      <c r="K23" s="349"/>
      <c r="L23" s="345"/>
      <c r="M23" s="341"/>
      <c r="N23" s="341"/>
      <c r="O23" s="341"/>
      <c r="P23" s="341"/>
      <c r="Q23" s="341"/>
    </row>
    <row r="24" spans="1:17" ht="13.5" customHeight="1" x14ac:dyDescent="0.3">
      <c r="A24" s="341"/>
      <c r="B24" s="343" t="s">
        <v>21</v>
      </c>
      <c r="C24" s="352" t="s">
        <v>226</v>
      </c>
      <c r="D24" s="349"/>
      <c r="E24" s="349"/>
      <c r="F24" s="344"/>
      <c r="G24" s="349"/>
      <c r="H24" s="349"/>
      <c r="I24" s="349"/>
      <c r="J24" s="349"/>
      <c r="K24" s="349"/>
      <c r="L24" s="345"/>
      <c r="M24" s="341"/>
      <c r="N24" s="341"/>
      <c r="O24" s="341"/>
      <c r="P24" s="341"/>
      <c r="Q24" s="341"/>
    </row>
    <row r="25" spans="1:17" ht="13.5" customHeight="1" x14ac:dyDescent="0.3">
      <c r="A25" s="341"/>
      <c r="B25" s="343" t="s">
        <v>21</v>
      </c>
      <c r="C25" s="352" t="s">
        <v>227</v>
      </c>
      <c r="D25" s="349"/>
      <c r="E25" s="349"/>
      <c r="F25" s="344"/>
      <c r="G25" s="349"/>
      <c r="H25" s="349"/>
      <c r="I25" s="349"/>
      <c r="J25" s="349"/>
      <c r="K25" s="349"/>
      <c r="L25" s="345"/>
      <c r="M25" s="341"/>
      <c r="N25" s="341"/>
      <c r="O25" s="341"/>
      <c r="P25" s="341"/>
      <c r="Q25" s="341"/>
    </row>
    <row r="26" spans="1:17" ht="13.5" customHeight="1" x14ac:dyDescent="0.3">
      <c r="A26" s="341"/>
      <c r="B26" s="343" t="s">
        <v>21</v>
      </c>
      <c r="C26" s="352" t="s">
        <v>228</v>
      </c>
      <c r="D26" s="349"/>
      <c r="E26" s="349"/>
      <c r="F26" s="344"/>
      <c r="G26" s="349"/>
      <c r="H26" s="349"/>
      <c r="I26" s="349"/>
      <c r="J26" s="349"/>
      <c r="K26" s="349"/>
      <c r="L26" s="345"/>
      <c r="M26" s="341"/>
      <c r="N26" s="341"/>
      <c r="O26" s="341"/>
      <c r="P26" s="341"/>
      <c r="Q26" s="341"/>
    </row>
    <row r="27" spans="1:17" ht="13.5" customHeight="1" thickBot="1" x14ac:dyDescent="0.35">
      <c r="A27" s="341"/>
      <c r="B27" s="343"/>
      <c r="C27" s="349"/>
      <c r="D27" s="349"/>
      <c r="E27" s="349"/>
      <c r="F27" s="344"/>
      <c r="G27" s="349"/>
      <c r="H27" s="349"/>
      <c r="I27" s="349"/>
      <c r="J27" s="349"/>
      <c r="K27" s="349"/>
      <c r="L27" s="345"/>
      <c r="M27" s="341"/>
      <c r="N27" s="341"/>
      <c r="O27" s="341"/>
      <c r="P27" s="341"/>
      <c r="Q27" s="341"/>
    </row>
    <row r="28" spans="1:17" ht="6" customHeight="1" thickTop="1" x14ac:dyDescent="0.3">
      <c r="A28" s="341"/>
      <c r="B28" s="343"/>
      <c r="C28" s="463"/>
      <c r="D28" s="455"/>
      <c r="E28" s="455"/>
      <c r="F28" s="455"/>
      <c r="G28" s="455"/>
      <c r="H28" s="456"/>
      <c r="I28" s="349"/>
      <c r="J28" s="349"/>
      <c r="K28" s="349"/>
      <c r="L28" s="345"/>
      <c r="M28" s="341"/>
      <c r="N28" s="341"/>
      <c r="O28" s="341"/>
      <c r="P28" s="341"/>
      <c r="Q28" s="341"/>
    </row>
    <row r="29" spans="1:17" ht="13.5" customHeight="1" x14ac:dyDescent="0.3">
      <c r="A29" s="341"/>
      <c r="B29" s="343" t="s">
        <v>21</v>
      </c>
      <c r="C29" s="451" t="s">
        <v>305</v>
      </c>
      <c r="D29" s="452"/>
      <c r="E29" s="452"/>
      <c r="F29" s="452"/>
      <c r="G29" s="452"/>
      <c r="H29" s="453"/>
      <c r="I29" s="349"/>
      <c r="J29" s="349"/>
      <c r="K29" s="349"/>
      <c r="L29" s="345"/>
      <c r="M29" s="341"/>
      <c r="N29" s="341"/>
      <c r="O29" s="341"/>
      <c r="P29" s="341"/>
      <c r="Q29" s="341"/>
    </row>
    <row r="30" spans="1:17" ht="13.5" customHeight="1" x14ac:dyDescent="0.3">
      <c r="A30" s="341"/>
      <c r="B30" s="343" t="s">
        <v>21</v>
      </c>
      <c r="C30" s="451" t="s">
        <v>306</v>
      </c>
      <c r="D30" s="452"/>
      <c r="E30" s="452"/>
      <c r="F30" s="452"/>
      <c r="G30" s="452"/>
      <c r="H30" s="453"/>
      <c r="I30" s="349"/>
      <c r="J30" s="349"/>
      <c r="K30" s="349"/>
      <c r="L30" s="345"/>
      <c r="M30" s="341"/>
      <c r="N30" s="341"/>
      <c r="O30" s="341"/>
      <c r="P30" s="341"/>
      <c r="Q30" s="341"/>
    </row>
    <row r="31" spans="1:17" ht="13.5" customHeight="1" x14ac:dyDescent="0.3">
      <c r="A31" s="341"/>
      <c r="B31" s="343" t="s">
        <v>21</v>
      </c>
      <c r="C31" s="451" t="s">
        <v>305</v>
      </c>
      <c r="D31" s="452"/>
      <c r="E31" s="452"/>
      <c r="F31" s="452"/>
      <c r="G31" s="452"/>
      <c r="H31" s="453"/>
      <c r="I31" s="349"/>
      <c r="J31" s="349"/>
      <c r="K31" s="349"/>
      <c r="L31" s="345"/>
      <c r="M31" s="341"/>
      <c r="N31" s="341"/>
      <c r="O31" s="341"/>
      <c r="P31" s="341"/>
      <c r="Q31" s="341"/>
    </row>
    <row r="32" spans="1:17" ht="3" customHeight="1" thickBot="1" x14ac:dyDescent="0.35">
      <c r="A32" s="341"/>
      <c r="B32" s="343"/>
      <c r="C32" s="354"/>
      <c r="D32" s="355"/>
      <c r="E32" s="355"/>
      <c r="F32" s="355"/>
      <c r="G32" s="355"/>
      <c r="H32" s="356"/>
      <c r="I32" s="349"/>
      <c r="J32" s="349"/>
      <c r="K32" s="349"/>
      <c r="L32" s="345"/>
      <c r="M32" s="341"/>
      <c r="N32" s="341"/>
      <c r="O32" s="341"/>
      <c r="P32" s="341"/>
      <c r="Q32" s="341"/>
    </row>
    <row r="33" spans="1:17" ht="13.5" customHeight="1" thickTop="1" thickBot="1" x14ac:dyDescent="0.35">
      <c r="A33" s="341"/>
      <c r="B33" s="357"/>
      <c r="C33" s="358" t="s">
        <v>264</v>
      </c>
      <c r="D33" s="359"/>
      <c r="E33" s="359"/>
      <c r="F33" s="359"/>
      <c r="G33" s="359"/>
      <c r="H33" s="359"/>
      <c r="I33" s="359"/>
      <c r="J33" s="359"/>
      <c r="K33" s="359"/>
      <c r="L33" s="360"/>
      <c r="M33" s="341"/>
      <c r="N33" s="341"/>
      <c r="O33" s="341"/>
      <c r="P33" s="341"/>
      <c r="Q33" s="341"/>
    </row>
    <row r="34" spans="1:17" ht="13.5" customHeight="1" thickTop="1" x14ac:dyDescent="0.3">
      <c r="A34" s="341"/>
      <c r="B34" s="341"/>
      <c r="C34" s="341"/>
      <c r="D34" s="341"/>
      <c r="E34" s="341"/>
      <c r="F34" s="341"/>
      <c r="G34" s="341"/>
      <c r="H34" s="341"/>
      <c r="I34" s="341"/>
      <c r="J34" s="341"/>
      <c r="K34" s="341"/>
      <c r="L34" s="341"/>
      <c r="M34" s="341"/>
      <c r="N34" s="341"/>
      <c r="O34" s="341"/>
      <c r="P34" s="341"/>
      <c r="Q34" s="341"/>
    </row>
    <row r="35" spans="1:17" ht="13.5" customHeight="1" x14ac:dyDescent="0.3">
      <c r="A35" s="341"/>
      <c r="B35" s="341"/>
      <c r="C35" s="341"/>
      <c r="D35" s="341"/>
      <c r="E35" s="341"/>
      <c r="F35" s="341"/>
      <c r="G35" s="341"/>
      <c r="H35" s="341"/>
      <c r="I35" s="341"/>
      <c r="J35" s="341"/>
      <c r="K35" s="341"/>
      <c r="L35" s="341"/>
      <c r="M35" s="341"/>
      <c r="N35" s="341"/>
      <c r="O35" s="341"/>
      <c r="P35" s="341"/>
      <c r="Q35" s="341"/>
    </row>
    <row r="36" spans="1:17" ht="13.5" customHeight="1" x14ac:dyDescent="0.3">
      <c r="A36" s="341"/>
      <c r="B36" s="341"/>
      <c r="C36" s="341"/>
      <c r="D36" s="341"/>
      <c r="E36" s="341"/>
      <c r="F36" s="341"/>
      <c r="G36" s="341"/>
      <c r="H36" s="341"/>
      <c r="I36" s="341"/>
      <c r="J36" s="341"/>
      <c r="K36" s="341"/>
      <c r="L36" s="341"/>
      <c r="M36" s="341"/>
      <c r="N36" s="341"/>
      <c r="O36" s="341"/>
      <c r="P36" s="341"/>
      <c r="Q36" s="341"/>
    </row>
    <row r="37" spans="1:17" ht="13.5" customHeight="1" x14ac:dyDescent="0.3">
      <c r="A37" s="341"/>
      <c r="B37" s="341"/>
      <c r="C37" s="341"/>
      <c r="D37" s="341"/>
      <c r="E37" s="341"/>
      <c r="F37" s="341"/>
      <c r="G37" s="341"/>
      <c r="H37" s="341"/>
      <c r="I37" s="341"/>
      <c r="J37" s="341"/>
      <c r="K37" s="341"/>
      <c r="L37" s="341"/>
      <c r="M37" s="341"/>
      <c r="N37" s="341"/>
      <c r="O37" s="341"/>
      <c r="P37" s="341"/>
      <c r="Q37" s="341"/>
    </row>
    <row r="38" spans="1:17" ht="13.5" customHeight="1" x14ac:dyDescent="0.3">
      <c r="A38" s="341"/>
      <c r="B38" s="341"/>
      <c r="C38" s="341"/>
      <c r="D38" s="341"/>
      <c r="E38" s="341"/>
      <c r="F38" s="341"/>
      <c r="G38" s="341"/>
      <c r="H38" s="341"/>
      <c r="I38" s="341"/>
      <c r="J38" s="341"/>
      <c r="K38" s="341"/>
      <c r="L38" s="341"/>
      <c r="M38" s="341"/>
      <c r="N38" s="341"/>
      <c r="O38" s="341"/>
      <c r="P38" s="341"/>
      <c r="Q38" s="341"/>
    </row>
    <row r="39" spans="1:17" ht="13.5" customHeight="1" x14ac:dyDescent="0.3">
      <c r="A39" s="341"/>
      <c r="B39" s="341"/>
      <c r="C39" s="341"/>
      <c r="D39" s="341"/>
      <c r="E39" s="341"/>
      <c r="F39" s="341"/>
      <c r="G39" s="341"/>
      <c r="H39" s="341"/>
      <c r="I39" s="341"/>
      <c r="J39" s="341"/>
      <c r="K39" s="341"/>
      <c r="L39" s="341"/>
      <c r="M39" s="341"/>
      <c r="N39" s="341"/>
      <c r="O39" s="341"/>
      <c r="P39" s="341"/>
      <c r="Q39" s="341"/>
    </row>
    <row r="40" spans="1:17" ht="13.5" customHeight="1" x14ac:dyDescent="0.3">
      <c r="A40" s="341"/>
      <c r="B40" s="341"/>
      <c r="C40" s="341"/>
      <c r="D40" s="341"/>
      <c r="E40" s="341"/>
      <c r="F40" s="341"/>
      <c r="G40" s="341"/>
      <c r="H40" s="341"/>
      <c r="I40" s="341"/>
      <c r="J40" s="341"/>
      <c r="K40" s="341"/>
      <c r="L40" s="341"/>
      <c r="M40" s="341"/>
      <c r="N40" s="341"/>
      <c r="O40" s="341"/>
      <c r="P40" s="341"/>
      <c r="Q40" s="341"/>
    </row>
    <row r="41" spans="1:17" ht="13.5" customHeight="1" x14ac:dyDescent="0.3">
      <c r="A41" s="341"/>
      <c r="B41" s="341"/>
      <c r="C41" s="341"/>
      <c r="D41" s="341"/>
      <c r="E41" s="341"/>
      <c r="F41" s="341"/>
      <c r="G41" s="341"/>
      <c r="H41" s="341"/>
      <c r="I41" s="341"/>
      <c r="J41" s="341"/>
      <c r="K41" s="341"/>
      <c r="L41" s="341"/>
      <c r="M41" s="341"/>
      <c r="N41" s="341"/>
      <c r="O41" s="341"/>
      <c r="P41" s="341"/>
      <c r="Q41" s="341"/>
    </row>
    <row r="42" spans="1:17" ht="13.5" customHeight="1" x14ac:dyDescent="0.3">
      <c r="A42" s="341"/>
      <c r="B42" s="341"/>
      <c r="C42" s="341"/>
      <c r="D42" s="341"/>
      <c r="E42" s="341"/>
      <c r="F42" s="341"/>
      <c r="G42" s="341"/>
      <c r="H42" s="341"/>
      <c r="I42" s="341"/>
      <c r="J42" s="341"/>
      <c r="K42" s="341"/>
      <c r="L42" s="341"/>
      <c r="M42" s="341"/>
      <c r="N42" s="341"/>
      <c r="O42" s="341"/>
      <c r="P42" s="341"/>
      <c r="Q42" s="341"/>
    </row>
    <row r="43" spans="1:17" ht="13.5" customHeight="1" x14ac:dyDescent="0.3">
      <c r="A43" s="341"/>
      <c r="B43" s="341"/>
      <c r="C43" s="341"/>
      <c r="D43" s="341"/>
      <c r="E43" s="341"/>
      <c r="F43" s="341"/>
      <c r="G43" s="341"/>
      <c r="H43" s="341"/>
      <c r="I43" s="341"/>
      <c r="J43" s="341"/>
      <c r="K43" s="341"/>
      <c r="L43" s="341"/>
      <c r="M43" s="341"/>
      <c r="N43" s="341"/>
      <c r="O43" s="341"/>
      <c r="P43" s="341"/>
      <c r="Q43" s="341"/>
    </row>
    <row r="44" spans="1:17" ht="13.5" hidden="1" customHeight="1" x14ac:dyDescent="0.3">
      <c r="A44" s="344"/>
      <c r="B44" s="344"/>
      <c r="C44" s="344"/>
      <c r="D44" s="344"/>
      <c r="E44" s="344"/>
      <c r="F44" s="344"/>
      <c r="G44" s="344"/>
      <c r="H44" s="344"/>
      <c r="I44" s="344"/>
      <c r="J44" s="344"/>
      <c r="K44" s="344"/>
      <c r="L44" s="344"/>
      <c r="M44" s="344"/>
      <c r="N44" s="344"/>
      <c r="O44" s="344"/>
      <c r="P44" s="344"/>
      <c r="Q44" s="344"/>
    </row>
    <row r="45" spans="1:17" ht="13.5" hidden="1" customHeight="1" x14ac:dyDescent="0.3">
      <c r="A45" s="344"/>
      <c r="B45" s="344"/>
      <c r="C45" s="344"/>
      <c r="D45" s="344"/>
      <c r="E45" s="344"/>
      <c r="F45" s="344"/>
      <c r="G45" s="344"/>
      <c r="H45" s="344"/>
      <c r="I45" s="344"/>
      <c r="J45" s="344"/>
      <c r="K45" s="344"/>
      <c r="L45" s="344"/>
      <c r="M45" s="344"/>
      <c r="N45" s="344"/>
      <c r="O45" s="344"/>
      <c r="P45" s="344"/>
      <c r="Q45" s="344"/>
    </row>
    <row r="46" spans="1:17" ht="13.5" hidden="1" customHeight="1" x14ac:dyDescent="0.3">
      <c r="A46" s="344"/>
      <c r="B46" s="344"/>
      <c r="C46" s="344"/>
      <c r="D46" s="344"/>
      <c r="E46" s="344"/>
      <c r="F46" s="344"/>
      <c r="G46" s="344"/>
      <c r="H46" s="344"/>
      <c r="I46" s="344"/>
      <c r="J46" s="344"/>
      <c r="K46" s="344"/>
      <c r="L46" s="344"/>
      <c r="M46" s="344"/>
      <c r="N46" s="344"/>
      <c r="O46" s="344"/>
      <c r="P46" s="344"/>
      <c r="Q46" s="344"/>
    </row>
    <row r="47" spans="1:17" ht="13.5" hidden="1" customHeight="1" x14ac:dyDescent="0.3">
      <c r="A47" s="344"/>
      <c r="B47" s="344"/>
      <c r="C47" s="344"/>
      <c r="D47" s="344"/>
      <c r="E47" s="344"/>
      <c r="F47" s="344"/>
      <c r="G47" s="344"/>
      <c r="H47" s="344"/>
      <c r="I47" s="344"/>
      <c r="J47" s="344"/>
      <c r="K47" s="344"/>
      <c r="L47" s="344"/>
      <c r="M47" s="344"/>
      <c r="N47" s="344"/>
      <c r="O47" s="344"/>
      <c r="P47" s="344"/>
      <c r="Q47" s="344"/>
    </row>
    <row r="48" spans="1:17" ht="13.5" hidden="1" customHeight="1" x14ac:dyDescent="0.3">
      <c r="A48" s="344"/>
      <c r="B48" s="344"/>
      <c r="C48" s="344"/>
      <c r="D48" s="344"/>
      <c r="E48" s="344"/>
      <c r="F48" s="344"/>
      <c r="G48" s="344"/>
      <c r="H48" s="344"/>
      <c r="I48" s="344"/>
      <c r="J48" s="344"/>
      <c r="K48" s="344"/>
      <c r="L48" s="344"/>
      <c r="M48" s="344"/>
      <c r="N48" s="344"/>
      <c r="O48" s="344"/>
      <c r="P48" s="344"/>
      <c r="Q48" s="344"/>
    </row>
    <row r="49" spans="1:17" ht="13.5" hidden="1" customHeight="1" x14ac:dyDescent="0.3">
      <c r="A49" s="344"/>
      <c r="B49" s="344"/>
      <c r="C49" s="344"/>
      <c r="D49" s="344"/>
      <c r="E49" s="344"/>
      <c r="F49" s="344"/>
      <c r="G49" s="344"/>
      <c r="H49" s="344"/>
      <c r="I49" s="344"/>
      <c r="J49" s="344"/>
      <c r="K49" s="344"/>
      <c r="L49" s="344"/>
      <c r="M49" s="344"/>
      <c r="N49" s="344"/>
      <c r="O49" s="344"/>
      <c r="P49" s="344"/>
      <c r="Q49" s="344"/>
    </row>
    <row r="50" spans="1:17" ht="13.5" hidden="1" customHeight="1" x14ac:dyDescent="0.3">
      <c r="A50" s="344"/>
      <c r="B50" s="344"/>
      <c r="C50" s="344"/>
      <c r="D50" s="344"/>
      <c r="E50" s="344"/>
      <c r="F50" s="344"/>
      <c r="G50" s="344"/>
      <c r="H50" s="344"/>
      <c r="I50" s="344"/>
      <c r="J50" s="344"/>
      <c r="K50" s="344"/>
      <c r="L50" s="344"/>
      <c r="M50" s="344"/>
      <c r="N50" s="344"/>
      <c r="O50" s="344"/>
      <c r="P50" s="344"/>
      <c r="Q50" s="344"/>
    </row>
    <row r="51" spans="1:17" ht="13.5" hidden="1" customHeight="1" x14ac:dyDescent="0.3">
      <c r="A51" s="344"/>
      <c r="B51" s="344"/>
      <c r="C51" s="344"/>
      <c r="D51" s="344"/>
      <c r="E51" s="344"/>
      <c r="F51" s="344"/>
      <c r="G51" s="344"/>
      <c r="H51" s="344"/>
      <c r="I51" s="344"/>
      <c r="J51" s="344"/>
      <c r="K51" s="344"/>
      <c r="L51" s="344"/>
      <c r="M51" s="344"/>
      <c r="N51" s="344"/>
      <c r="O51" s="344"/>
      <c r="P51" s="344"/>
      <c r="Q51" s="344"/>
    </row>
    <row r="52" spans="1:17" ht="13.5" hidden="1" customHeight="1" x14ac:dyDescent="0.3">
      <c r="A52" s="344"/>
      <c r="B52" s="344"/>
      <c r="C52" s="344"/>
      <c r="D52" s="344"/>
      <c r="E52" s="344"/>
      <c r="F52" s="344"/>
      <c r="G52" s="344"/>
      <c r="H52" s="344"/>
      <c r="I52" s="344"/>
      <c r="J52" s="344"/>
      <c r="K52" s="344"/>
      <c r="L52" s="344"/>
      <c r="M52" s="344"/>
      <c r="N52" s="344"/>
      <c r="O52" s="344"/>
      <c r="P52" s="344"/>
      <c r="Q52" s="344"/>
    </row>
    <row r="53" spans="1:17" ht="13.5" hidden="1" customHeight="1" x14ac:dyDescent="0.3">
      <c r="A53" s="344"/>
      <c r="B53" s="344"/>
      <c r="C53" s="344"/>
      <c r="D53" s="344"/>
      <c r="E53" s="344"/>
      <c r="F53" s="344"/>
      <c r="G53" s="344"/>
      <c r="H53" s="344"/>
      <c r="I53" s="344"/>
      <c r="J53" s="344"/>
      <c r="K53" s="344"/>
      <c r="L53" s="344"/>
      <c r="M53" s="344"/>
      <c r="N53" s="344"/>
      <c r="O53" s="344"/>
      <c r="P53" s="344"/>
      <c r="Q53" s="344"/>
    </row>
    <row r="54" spans="1:17" ht="13.5" hidden="1" customHeight="1" x14ac:dyDescent="0.3">
      <c r="A54" s="344"/>
      <c r="B54" s="344"/>
      <c r="C54" s="344"/>
      <c r="D54" s="344"/>
      <c r="E54" s="344"/>
      <c r="F54" s="344"/>
      <c r="G54" s="344"/>
      <c r="H54" s="344"/>
      <c r="I54" s="344"/>
      <c r="J54" s="344"/>
      <c r="K54" s="344"/>
      <c r="L54" s="344"/>
      <c r="M54" s="344"/>
      <c r="N54" s="344"/>
      <c r="O54" s="344"/>
      <c r="P54" s="344"/>
      <c r="Q54" s="344"/>
    </row>
    <row r="55" spans="1:17" ht="13.5" hidden="1" customHeight="1" x14ac:dyDescent="0.3">
      <c r="A55" s="344"/>
      <c r="B55" s="344"/>
      <c r="C55" s="344"/>
      <c r="D55" s="344"/>
      <c r="E55" s="344"/>
      <c r="F55" s="344"/>
      <c r="G55" s="344"/>
      <c r="H55" s="344"/>
      <c r="I55" s="344"/>
      <c r="J55" s="344"/>
      <c r="K55" s="344"/>
      <c r="L55" s="344"/>
      <c r="M55" s="344"/>
      <c r="N55" s="344"/>
      <c r="O55" s="344"/>
      <c r="P55" s="344"/>
      <c r="Q55" s="344"/>
    </row>
    <row r="56" spans="1:17" ht="13.5" hidden="1" customHeight="1" x14ac:dyDescent="0.3">
      <c r="A56" s="344"/>
      <c r="B56" s="344"/>
      <c r="C56" s="344"/>
      <c r="D56" s="344"/>
      <c r="E56" s="344"/>
      <c r="F56" s="344"/>
      <c r="G56" s="344"/>
      <c r="H56" s="344"/>
      <c r="I56" s="344"/>
      <c r="J56" s="344"/>
      <c r="K56" s="344"/>
      <c r="L56" s="344"/>
      <c r="M56" s="344"/>
      <c r="N56" s="344"/>
      <c r="O56" s="344"/>
      <c r="P56" s="344"/>
      <c r="Q56" s="344"/>
    </row>
    <row r="57" spans="1:17" ht="13.5" hidden="1" customHeight="1" x14ac:dyDescent="0.3">
      <c r="A57" s="344"/>
      <c r="B57" s="344"/>
      <c r="C57" s="344"/>
      <c r="D57" s="344"/>
      <c r="E57" s="344"/>
      <c r="F57" s="344"/>
      <c r="G57" s="344"/>
      <c r="H57" s="344"/>
      <c r="I57" s="344"/>
      <c r="J57" s="344"/>
      <c r="K57" s="344"/>
      <c r="L57" s="344"/>
      <c r="M57" s="344"/>
      <c r="N57" s="344"/>
      <c r="O57" s="344"/>
      <c r="P57" s="344"/>
      <c r="Q57" s="344"/>
    </row>
    <row r="58" spans="1:17" ht="13.5" hidden="1" customHeight="1" x14ac:dyDescent="0.3">
      <c r="A58" s="344"/>
      <c r="B58" s="344"/>
      <c r="C58" s="344"/>
      <c r="D58" s="344"/>
      <c r="E58" s="344"/>
      <c r="F58" s="344"/>
      <c r="G58" s="344"/>
      <c r="H58" s="344"/>
      <c r="I58" s="344"/>
      <c r="J58" s="344"/>
      <c r="K58" s="344"/>
      <c r="L58" s="344"/>
      <c r="M58" s="344"/>
      <c r="N58" s="344"/>
      <c r="O58" s="344"/>
      <c r="P58" s="344"/>
      <c r="Q58" s="344"/>
    </row>
    <row r="59" spans="1:17" ht="13.5" hidden="1" customHeight="1" x14ac:dyDescent="0.3">
      <c r="A59" s="344"/>
      <c r="B59" s="344"/>
      <c r="C59" s="344"/>
      <c r="D59" s="344"/>
      <c r="E59" s="344"/>
      <c r="F59" s="344"/>
      <c r="G59" s="344"/>
      <c r="H59" s="344"/>
      <c r="I59" s="344"/>
      <c r="J59" s="344"/>
      <c r="K59" s="344"/>
      <c r="L59" s="344"/>
      <c r="M59" s="344"/>
      <c r="N59" s="344"/>
      <c r="O59" s="344"/>
      <c r="P59" s="344"/>
      <c r="Q59" s="344"/>
    </row>
    <row r="60" spans="1:17" ht="13.5" hidden="1" customHeight="1" x14ac:dyDescent="0.3">
      <c r="A60" s="344"/>
      <c r="B60" s="344"/>
      <c r="C60" s="344"/>
      <c r="D60" s="344"/>
      <c r="E60" s="344"/>
      <c r="F60" s="344"/>
      <c r="G60" s="344"/>
      <c r="H60" s="344"/>
      <c r="I60" s="344"/>
      <c r="J60" s="344"/>
      <c r="K60" s="344"/>
      <c r="L60" s="344"/>
      <c r="M60" s="344"/>
      <c r="N60" s="344"/>
      <c r="O60" s="344"/>
      <c r="P60" s="344"/>
      <c r="Q60" s="344"/>
    </row>
    <row r="61" spans="1:17" ht="13.5" hidden="1" customHeight="1" x14ac:dyDescent="0.3">
      <c r="A61" s="344"/>
      <c r="B61" s="344"/>
      <c r="C61" s="344"/>
      <c r="D61" s="344"/>
      <c r="E61" s="344"/>
      <c r="F61" s="344"/>
      <c r="G61" s="344"/>
      <c r="H61" s="344"/>
      <c r="I61" s="344"/>
      <c r="J61" s="344"/>
      <c r="K61" s="344"/>
      <c r="L61" s="344"/>
      <c r="M61" s="344"/>
      <c r="N61" s="344"/>
      <c r="O61" s="344"/>
      <c r="P61" s="344"/>
      <c r="Q61" s="344"/>
    </row>
    <row r="62" spans="1:17" ht="13.5" hidden="1" customHeight="1" x14ac:dyDescent="0.3">
      <c r="A62" s="344"/>
      <c r="B62" s="344"/>
      <c r="C62" s="344"/>
      <c r="D62" s="344"/>
      <c r="E62" s="344"/>
      <c r="F62" s="344"/>
      <c r="G62" s="344"/>
      <c r="H62" s="344"/>
      <c r="I62" s="344"/>
      <c r="J62" s="344"/>
      <c r="K62" s="344"/>
      <c r="L62" s="344"/>
      <c r="M62" s="344"/>
      <c r="N62" s="344"/>
      <c r="O62" s="344"/>
      <c r="P62" s="344"/>
      <c r="Q62" s="344"/>
    </row>
    <row r="63" spans="1:17" ht="13.5" hidden="1" customHeight="1" x14ac:dyDescent="0.3">
      <c r="A63" s="344"/>
      <c r="B63" s="344"/>
      <c r="C63" s="344"/>
      <c r="D63" s="344"/>
      <c r="E63" s="344"/>
      <c r="F63" s="344"/>
      <c r="G63" s="344"/>
      <c r="H63" s="344"/>
      <c r="I63" s="344"/>
      <c r="J63" s="344"/>
      <c r="K63" s="344"/>
      <c r="L63" s="344"/>
      <c r="M63" s="344"/>
      <c r="N63" s="344"/>
      <c r="O63" s="344"/>
      <c r="P63" s="344"/>
      <c r="Q63" s="344"/>
    </row>
    <row r="64" spans="1:17" ht="13.5" hidden="1" customHeight="1" x14ac:dyDescent="0.3">
      <c r="A64" s="344"/>
      <c r="B64" s="344"/>
      <c r="C64" s="344"/>
      <c r="D64" s="344"/>
      <c r="E64" s="344"/>
      <c r="F64" s="344"/>
      <c r="G64" s="344"/>
      <c r="H64" s="344"/>
      <c r="I64" s="344"/>
      <c r="J64" s="344"/>
      <c r="K64" s="344"/>
      <c r="L64" s="344"/>
      <c r="M64" s="344"/>
      <c r="N64" s="344"/>
      <c r="O64" s="344"/>
      <c r="P64" s="344"/>
      <c r="Q64" s="344"/>
    </row>
    <row r="65" spans="1:17" ht="13.5" hidden="1" customHeight="1" x14ac:dyDescent="0.3">
      <c r="A65" s="344"/>
      <c r="B65" s="344"/>
      <c r="C65" s="344"/>
      <c r="D65" s="344"/>
      <c r="E65" s="344"/>
      <c r="F65" s="344"/>
      <c r="G65" s="344"/>
      <c r="H65" s="344"/>
      <c r="I65" s="344"/>
      <c r="J65" s="344"/>
      <c r="K65" s="344"/>
      <c r="L65" s="344"/>
      <c r="M65" s="344"/>
      <c r="N65" s="344"/>
      <c r="O65" s="344"/>
      <c r="P65" s="344"/>
      <c r="Q65" s="344"/>
    </row>
    <row r="66" spans="1:17" ht="13.5" hidden="1" customHeight="1" x14ac:dyDescent="0.3">
      <c r="A66" s="344"/>
      <c r="B66" s="344"/>
      <c r="C66" s="344"/>
      <c r="D66" s="344"/>
      <c r="E66" s="344"/>
      <c r="F66" s="344"/>
      <c r="G66" s="344"/>
      <c r="H66" s="344"/>
      <c r="I66" s="344"/>
      <c r="J66" s="344"/>
      <c r="K66" s="344"/>
      <c r="L66" s="344"/>
      <c r="M66" s="344"/>
      <c r="N66" s="344"/>
      <c r="O66" s="344"/>
      <c r="P66" s="344"/>
      <c r="Q66" s="344"/>
    </row>
    <row r="67" spans="1:17" ht="13.5" hidden="1" customHeight="1" x14ac:dyDescent="0.3">
      <c r="A67" s="344"/>
      <c r="B67" s="344"/>
      <c r="C67" s="344"/>
      <c r="D67" s="344"/>
      <c r="E67" s="344"/>
      <c r="F67" s="344"/>
      <c r="G67" s="344"/>
      <c r="H67" s="344"/>
      <c r="I67" s="344"/>
      <c r="J67" s="344"/>
      <c r="K67" s="344"/>
      <c r="L67" s="344"/>
      <c r="M67" s="344"/>
      <c r="N67" s="344"/>
      <c r="O67" s="344"/>
      <c r="P67" s="344"/>
      <c r="Q67" s="344"/>
    </row>
    <row r="68" spans="1:17" ht="13.5" hidden="1" customHeight="1" x14ac:dyDescent="0.3">
      <c r="A68" s="344"/>
      <c r="B68" s="344"/>
      <c r="C68" s="344"/>
      <c r="D68" s="344"/>
      <c r="E68" s="344"/>
      <c r="F68" s="344"/>
      <c r="G68" s="344"/>
      <c r="H68" s="344"/>
      <c r="I68" s="344"/>
      <c r="J68" s="344"/>
      <c r="K68" s="344"/>
      <c r="L68" s="344"/>
      <c r="M68" s="344"/>
      <c r="N68" s="344"/>
      <c r="O68" s="344"/>
      <c r="P68" s="344"/>
      <c r="Q68" s="344"/>
    </row>
    <row r="69" spans="1:17" ht="13.5" hidden="1" customHeight="1" x14ac:dyDescent="0.3">
      <c r="A69" s="344"/>
      <c r="B69" s="344"/>
      <c r="C69" s="344"/>
      <c r="D69" s="344"/>
      <c r="E69" s="344"/>
      <c r="F69" s="344"/>
      <c r="G69" s="344"/>
      <c r="H69" s="344"/>
      <c r="I69" s="344"/>
      <c r="J69" s="344"/>
      <c r="K69" s="344"/>
      <c r="L69" s="344"/>
      <c r="M69" s="344"/>
      <c r="N69" s="344"/>
      <c r="O69" s="344"/>
      <c r="P69" s="344"/>
      <c r="Q69" s="344"/>
    </row>
    <row r="70" spans="1:17" ht="13.5" hidden="1" customHeight="1" x14ac:dyDescent="0.3">
      <c r="A70" s="344"/>
      <c r="B70" s="344"/>
      <c r="C70" s="344"/>
      <c r="D70" s="344"/>
      <c r="E70" s="344"/>
      <c r="F70" s="344"/>
      <c r="G70" s="344"/>
      <c r="H70" s="344"/>
      <c r="I70" s="344"/>
      <c r="J70" s="344"/>
      <c r="K70" s="344"/>
      <c r="L70" s="344"/>
      <c r="M70" s="344"/>
      <c r="N70" s="344"/>
      <c r="O70" s="344"/>
      <c r="P70" s="344"/>
      <c r="Q70" s="344"/>
    </row>
    <row r="71" spans="1:17" ht="13.5" hidden="1" customHeight="1" x14ac:dyDescent="0.3">
      <c r="A71" s="344"/>
      <c r="B71" s="344"/>
      <c r="C71" s="344"/>
      <c r="D71" s="344"/>
      <c r="E71" s="344"/>
      <c r="F71" s="344"/>
      <c r="G71" s="344"/>
      <c r="H71" s="344"/>
      <c r="I71" s="344"/>
      <c r="J71" s="344"/>
      <c r="K71" s="344"/>
      <c r="L71" s="344"/>
      <c r="M71" s="344"/>
      <c r="N71" s="344"/>
      <c r="O71" s="344"/>
      <c r="P71" s="344"/>
      <c r="Q71" s="344"/>
    </row>
    <row r="72" spans="1:17" ht="13.5" hidden="1" customHeight="1" x14ac:dyDescent="0.3">
      <c r="A72" s="344"/>
      <c r="B72" s="344"/>
      <c r="C72" s="344"/>
      <c r="D72" s="344"/>
      <c r="E72" s="344"/>
      <c r="F72" s="344"/>
      <c r="G72" s="344"/>
      <c r="H72" s="344"/>
      <c r="I72" s="344"/>
      <c r="J72" s="344"/>
      <c r="K72" s="344"/>
      <c r="L72" s="344"/>
      <c r="M72" s="344"/>
      <c r="N72" s="344"/>
      <c r="O72" s="344"/>
      <c r="P72" s="344"/>
      <c r="Q72" s="344"/>
    </row>
    <row r="73" spans="1:17" ht="13.5" hidden="1" customHeight="1" x14ac:dyDescent="0.3">
      <c r="A73" s="344"/>
      <c r="B73" s="344"/>
      <c r="C73" s="344"/>
      <c r="D73" s="344"/>
      <c r="E73" s="344"/>
      <c r="F73" s="344"/>
      <c r="G73" s="344"/>
      <c r="H73" s="344"/>
      <c r="I73" s="344"/>
      <c r="J73" s="344"/>
      <c r="K73" s="344"/>
      <c r="L73" s="344"/>
      <c r="M73" s="344"/>
      <c r="N73" s="344"/>
      <c r="O73" s="344"/>
      <c r="P73" s="344"/>
      <c r="Q73" s="344"/>
    </row>
    <row r="74" spans="1:17" ht="13.5" hidden="1" customHeight="1" x14ac:dyDescent="0.3">
      <c r="A74" s="344"/>
      <c r="B74" s="344"/>
      <c r="C74" s="344"/>
      <c r="D74" s="344"/>
      <c r="E74" s="344"/>
      <c r="F74" s="344"/>
      <c r="G74" s="344"/>
      <c r="H74" s="344"/>
      <c r="I74" s="344"/>
      <c r="J74" s="344"/>
      <c r="K74" s="344"/>
      <c r="L74" s="344"/>
      <c r="M74" s="344"/>
      <c r="N74" s="344"/>
      <c r="O74" s="344"/>
      <c r="P74" s="344"/>
      <c r="Q74" s="344"/>
    </row>
    <row r="75" spans="1:17" ht="13.5" hidden="1" customHeight="1" x14ac:dyDescent="0.3">
      <c r="A75" s="344"/>
      <c r="B75" s="344"/>
      <c r="C75" s="344"/>
      <c r="D75" s="344"/>
      <c r="E75" s="344"/>
      <c r="F75" s="344"/>
      <c r="G75" s="344"/>
      <c r="H75" s="344"/>
      <c r="I75" s="344"/>
      <c r="J75" s="344"/>
      <c r="K75" s="344"/>
      <c r="L75" s="344"/>
      <c r="M75" s="344"/>
      <c r="N75" s="344"/>
      <c r="O75" s="344"/>
      <c r="P75" s="344"/>
      <c r="Q75" s="344"/>
    </row>
    <row r="76" spans="1:17" ht="13.5" hidden="1" customHeight="1" x14ac:dyDescent="0.3">
      <c r="A76" s="344"/>
      <c r="B76" s="344"/>
      <c r="C76" s="344"/>
      <c r="D76" s="344"/>
      <c r="E76" s="344"/>
      <c r="F76" s="344"/>
      <c r="G76" s="344"/>
      <c r="H76" s="344"/>
      <c r="I76" s="344"/>
      <c r="J76" s="344"/>
      <c r="K76" s="344"/>
      <c r="L76" s="344"/>
      <c r="M76" s="344"/>
      <c r="N76" s="344"/>
      <c r="O76" s="344"/>
      <c r="P76" s="344"/>
      <c r="Q76" s="344"/>
    </row>
    <row r="77" spans="1:17" ht="13.5" hidden="1" customHeight="1" x14ac:dyDescent="0.3">
      <c r="A77" s="344"/>
      <c r="B77" s="344"/>
      <c r="C77" s="344"/>
      <c r="D77" s="344"/>
      <c r="E77" s="344"/>
      <c r="F77" s="344"/>
      <c r="G77" s="344"/>
      <c r="H77" s="344"/>
      <c r="I77" s="344"/>
      <c r="J77" s="344"/>
      <c r="K77" s="344"/>
      <c r="L77" s="344"/>
      <c r="M77" s="344"/>
      <c r="N77" s="344"/>
      <c r="O77" s="344"/>
      <c r="P77" s="344"/>
      <c r="Q77" s="344"/>
    </row>
    <row r="78" spans="1:17" ht="13.5" hidden="1" customHeight="1" x14ac:dyDescent="0.3">
      <c r="A78" s="344"/>
      <c r="B78" s="344"/>
      <c r="C78" s="344"/>
      <c r="D78" s="344"/>
      <c r="E78" s="344"/>
      <c r="F78" s="344"/>
      <c r="G78" s="344"/>
      <c r="H78" s="344"/>
      <c r="I78" s="344"/>
      <c r="J78" s="344"/>
      <c r="K78" s="344"/>
      <c r="L78" s="344"/>
      <c r="M78" s="344"/>
      <c r="N78" s="344"/>
      <c r="O78" s="344"/>
      <c r="P78" s="344"/>
      <c r="Q78" s="344"/>
    </row>
    <row r="79" spans="1:17" ht="13.5" hidden="1" customHeight="1" x14ac:dyDescent="0.3">
      <c r="A79" s="344"/>
      <c r="B79" s="344"/>
      <c r="C79" s="344"/>
      <c r="D79" s="344"/>
      <c r="E79" s="344"/>
      <c r="F79" s="344"/>
      <c r="G79" s="344"/>
      <c r="H79" s="344"/>
      <c r="I79" s="344"/>
      <c r="J79" s="344"/>
      <c r="K79" s="344"/>
      <c r="L79" s="344"/>
      <c r="M79" s="344"/>
      <c r="N79" s="344"/>
      <c r="O79" s="344"/>
      <c r="P79" s="344"/>
      <c r="Q79" s="344"/>
    </row>
    <row r="80" spans="1:17" ht="13.5" hidden="1" customHeight="1" x14ac:dyDescent="0.3">
      <c r="A80" s="344"/>
      <c r="B80" s="344"/>
      <c r="C80" s="344"/>
      <c r="D80" s="344"/>
      <c r="E80" s="344"/>
      <c r="F80" s="344"/>
      <c r="G80" s="344"/>
      <c r="H80" s="344"/>
      <c r="I80" s="344"/>
      <c r="J80" s="344"/>
      <c r="K80" s="344"/>
      <c r="L80" s="344"/>
      <c r="M80" s="344"/>
      <c r="N80" s="344"/>
      <c r="O80" s="344"/>
      <c r="P80" s="344"/>
      <c r="Q80" s="344"/>
    </row>
    <row r="81" spans="1:17" ht="13.5" hidden="1" customHeight="1" x14ac:dyDescent="0.3">
      <c r="A81" s="344"/>
      <c r="B81" s="344"/>
      <c r="C81" s="344"/>
      <c r="D81" s="344"/>
      <c r="E81" s="344"/>
      <c r="F81" s="344"/>
      <c r="G81" s="344"/>
      <c r="H81" s="344"/>
      <c r="I81" s="344"/>
      <c r="J81" s="344"/>
      <c r="K81" s="344"/>
      <c r="L81" s="344"/>
      <c r="M81" s="344"/>
      <c r="N81" s="344"/>
      <c r="O81" s="344"/>
      <c r="P81" s="344"/>
      <c r="Q81" s="344"/>
    </row>
    <row r="82" spans="1:17" ht="13.5" hidden="1" customHeight="1" x14ac:dyDescent="0.3">
      <c r="A82" s="344"/>
      <c r="B82" s="344"/>
      <c r="C82" s="344"/>
      <c r="D82" s="344"/>
      <c r="E82" s="344"/>
      <c r="F82" s="344"/>
      <c r="G82" s="344"/>
      <c r="H82" s="344"/>
      <c r="I82" s="344"/>
      <c r="J82" s="344"/>
      <c r="K82" s="344"/>
      <c r="L82" s="344"/>
      <c r="M82" s="344"/>
      <c r="N82" s="344"/>
      <c r="O82" s="344"/>
      <c r="P82" s="344"/>
      <c r="Q82" s="344"/>
    </row>
    <row r="83" spans="1:17" ht="13.5" hidden="1" customHeight="1" x14ac:dyDescent="0.3">
      <c r="A83" s="344"/>
      <c r="B83" s="344"/>
      <c r="C83" s="344"/>
      <c r="D83" s="344"/>
      <c r="E83" s="344"/>
      <c r="F83" s="344"/>
      <c r="G83" s="344"/>
      <c r="H83" s="344"/>
      <c r="I83" s="344"/>
      <c r="J83" s="344"/>
      <c r="K83" s="344"/>
      <c r="L83" s="344"/>
      <c r="M83" s="344"/>
      <c r="N83" s="344"/>
      <c r="O83" s="344"/>
      <c r="P83" s="344"/>
      <c r="Q83" s="344"/>
    </row>
    <row r="84" spans="1:17" ht="13.5" hidden="1" customHeight="1" x14ac:dyDescent="0.3">
      <c r="A84" s="344"/>
      <c r="B84" s="344"/>
      <c r="C84" s="344"/>
      <c r="D84" s="344"/>
      <c r="E84" s="344"/>
      <c r="F84" s="344"/>
      <c r="G84" s="344"/>
      <c r="H84" s="344"/>
      <c r="I84" s="344"/>
      <c r="J84" s="344"/>
      <c r="K84" s="344"/>
      <c r="L84" s="344"/>
      <c r="M84" s="344"/>
      <c r="N84" s="344"/>
      <c r="O84" s="344"/>
      <c r="P84" s="344"/>
      <c r="Q84" s="344"/>
    </row>
    <row r="85" spans="1:17" ht="13.5" hidden="1" customHeight="1" x14ac:dyDescent="0.3">
      <c r="A85" s="344"/>
      <c r="B85" s="344"/>
      <c r="C85" s="344"/>
      <c r="D85" s="344"/>
      <c r="E85" s="344"/>
      <c r="F85" s="344"/>
      <c r="G85" s="344"/>
      <c r="H85" s="344"/>
      <c r="I85" s="344"/>
      <c r="J85" s="344"/>
      <c r="K85" s="344"/>
      <c r="L85" s="344"/>
      <c r="M85" s="344"/>
      <c r="N85" s="344"/>
      <c r="O85" s="344"/>
      <c r="P85" s="344"/>
      <c r="Q85" s="344"/>
    </row>
    <row r="86" spans="1:17" ht="13.5" hidden="1" customHeight="1" x14ac:dyDescent="0.3">
      <c r="A86" s="344"/>
      <c r="B86" s="344"/>
      <c r="C86" s="344"/>
      <c r="D86" s="344"/>
      <c r="E86" s="344"/>
      <c r="F86" s="344"/>
      <c r="G86" s="344"/>
      <c r="H86" s="344"/>
      <c r="I86" s="344"/>
      <c r="J86" s="344"/>
      <c r="K86" s="344"/>
      <c r="L86" s="344"/>
      <c r="M86" s="344"/>
      <c r="N86" s="344"/>
      <c r="O86" s="344"/>
      <c r="P86" s="344"/>
      <c r="Q86" s="344"/>
    </row>
    <row r="87" spans="1:17" ht="13.5" hidden="1" customHeight="1" x14ac:dyDescent="0.3">
      <c r="A87" s="344"/>
      <c r="B87" s="344"/>
      <c r="C87" s="344"/>
      <c r="D87" s="344"/>
      <c r="E87" s="344"/>
      <c r="F87" s="344"/>
      <c r="G87" s="344"/>
      <c r="H87" s="344"/>
      <c r="I87" s="344"/>
      <c r="J87" s="344"/>
      <c r="K87" s="344"/>
      <c r="L87" s="344"/>
      <c r="M87" s="344"/>
      <c r="N87" s="344"/>
      <c r="O87" s="344"/>
      <c r="P87" s="344"/>
      <c r="Q87" s="344"/>
    </row>
    <row r="88" spans="1:17" ht="13.5" hidden="1" customHeight="1" x14ac:dyDescent="0.3">
      <c r="A88" s="344"/>
      <c r="B88" s="344"/>
      <c r="C88" s="344"/>
      <c r="D88" s="344"/>
      <c r="E88" s="344"/>
      <c r="F88" s="344"/>
      <c r="G88" s="344"/>
      <c r="H88" s="344"/>
      <c r="I88" s="344"/>
      <c r="J88" s="344"/>
      <c r="K88" s="344"/>
      <c r="L88" s="344"/>
      <c r="M88" s="344"/>
      <c r="N88" s="344"/>
      <c r="O88" s="344"/>
      <c r="P88" s="344"/>
      <c r="Q88" s="344"/>
    </row>
    <row r="89" spans="1:17" ht="13.5" hidden="1" customHeight="1" x14ac:dyDescent="0.3">
      <c r="A89" s="344"/>
      <c r="B89" s="344"/>
      <c r="C89" s="344"/>
      <c r="D89" s="344"/>
      <c r="E89" s="344"/>
      <c r="F89" s="344"/>
      <c r="G89" s="344"/>
      <c r="H89" s="344"/>
      <c r="I89" s="344"/>
      <c r="J89" s="344"/>
      <c r="K89" s="344"/>
      <c r="L89" s="344"/>
      <c r="M89" s="344"/>
      <c r="N89" s="344"/>
      <c r="O89" s="344"/>
      <c r="P89" s="344"/>
      <c r="Q89" s="344"/>
    </row>
    <row r="90" spans="1:17" ht="13.5" hidden="1" customHeight="1" x14ac:dyDescent="0.3">
      <c r="A90" s="344"/>
      <c r="B90" s="344"/>
      <c r="C90" s="344"/>
      <c r="D90" s="344"/>
      <c r="E90" s="344"/>
      <c r="F90" s="344"/>
      <c r="G90" s="344"/>
      <c r="H90" s="344"/>
      <c r="I90" s="344"/>
      <c r="J90" s="344"/>
      <c r="K90" s="344"/>
      <c r="L90" s="344"/>
      <c r="M90" s="344"/>
      <c r="N90" s="344"/>
      <c r="O90" s="344"/>
      <c r="P90" s="344"/>
      <c r="Q90" s="344"/>
    </row>
    <row r="91" spans="1:17" ht="13.5" hidden="1" customHeight="1" x14ac:dyDescent="0.3">
      <c r="A91" s="344"/>
      <c r="B91" s="344"/>
      <c r="C91" s="344"/>
      <c r="D91" s="344"/>
      <c r="E91" s="344"/>
      <c r="F91" s="344"/>
      <c r="G91" s="344"/>
      <c r="H91" s="344"/>
      <c r="I91" s="344"/>
      <c r="J91" s="344"/>
      <c r="K91" s="344"/>
      <c r="L91" s="344"/>
      <c r="M91" s="344"/>
      <c r="N91" s="344"/>
      <c r="O91" s="344"/>
      <c r="P91" s="344"/>
      <c r="Q91" s="344"/>
    </row>
    <row r="92" spans="1:17" ht="13.5" hidden="1" customHeight="1" x14ac:dyDescent="0.3">
      <c r="A92" s="344"/>
      <c r="B92" s="344"/>
      <c r="C92" s="344"/>
      <c r="D92" s="344"/>
      <c r="E92" s="344"/>
      <c r="F92" s="344"/>
      <c r="G92" s="344"/>
      <c r="H92" s="344"/>
      <c r="I92" s="344"/>
      <c r="J92" s="344"/>
      <c r="K92" s="344"/>
      <c r="L92" s="344"/>
      <c r="M92" s="344"/>
      <c r="N92" s="344"/>
      <c r="O92" s="344"/>
      <c r="P92" s="344"/>
      <c r="Q92" s="344"/>
    </row>
    <row r="93" spans="1:17" ht="13.5" hidden="1" customHeight="1" x14ac:dyDescent="0.3">
      <c r="A93" s="344"/>
      <c r="B93" s="344"/>
      <c r="C93" s="344"/>
      <c r="D93" s="344"/>
      <c r="E93" s="344"/>
      <c r="F93" s="344"/>
      <c r="G93" s="344"/>
      <c r="H93" s="344"/>
      <c r="I93" s="344"/>
      <c r="J93" s="344"/>
      <c r="K93" s="344"/>
      <c r="L93" s="344"/>
      <c r="M93" s="344"/>
      <c r="N93" s="344"/>
      <c r="O93" s="344"/>
      <c r="P93" s="344"/>
      <c r="Q93" s="344"/>
    </row>
    <row r="94" spans="1:17" ht="13.5" hidden="1" customHeight="1" x14ac:dyDescent="0.3">
      <c r="A94" s="344"/>
      <c r="B94" s="344"/>
      <c r="C94" s="344"/>
      <c r="D94" s="344"/>
      <c r="E94" s="344"/>
      <c r="F94" s="344"/>
      <c r="G94" s="344"/>
      <c r="H94" s="344"/>
      <c r="I94" s="344"/>
      <c r="J94" s="344"/>
      <c r="K94" s="344"/>
      <c r="L94" s="344"/>
      <c r="M94" s="344"/>
      <c r="N94" s="344"/>
      <c r="O94" s="344"/>
      <c r="P94" s="344"/>
      <c r="Q94" s="344"/>
    </row>
    <row r="95" spans="1:17" ht="13.5" hidden="1" customHeight="1" x14ac:dyDescent="0.3">
      <c r="A95" s="344"/>
      <c r="B95" s="344"/>
      <c r="C95" s="344"/>
      <c r="D95" s="344"/>
      <c r="E95" s="344"/>
      <c r="F95" s="344"/>
      <c r="G95" s="344"/>
      <c r="H95" s="344"/>
      <c r="I95" s="344"/>
      <c r="J95" s="344"/>
      <c r="K95" s="344"/>
      <c r="L95" s="344"/>
      <c r="M95" s="344"/>
      <c r="N95" s="344"/>
      <c r="O95" s="344"/>
      <c r="P95" s="344"/>
      <c r="Q95" s="344"/>
    </row>
    <row r="96" spans="1:17" ht="13.5" hidden="1" customHeight="1" x14ac:dyDescent="0.3">
      <c r="A96" s="344"/>
      <c r="B96" s="344"/>
      <c r="C96" s="344"/>
      <c r="D96" s="344"/>
      <c r="E96" s="344"/>
      <c r="F96" s="344"/>
      <c r="G96" s="344"/>
      <c r="H96" s="344"/>
      <c r="I96" s="344"/>
      <c r="J96" s="344"/>
      <c r="K96" s="344"/>
      <c r="L96" s="344"/>
      <c r="M96" s="344"/>
      <c r="N96" s="344"/>
      <c r="O96" s="344"/>
      <c r="P96" s="344"/>
      <c r="Q96" s="344"/>
    </row>
    <row r="97" spans="1:17" ht="13.5" hidden="1" customHeight="1" x14ac:dyDescent="0.3">
      <c r="A97" s="344"/>
      <c r="B97" s="344"/>
      <c r="C97" s="344"/>
      <c r="D97" s="344"/>
      <c r="E97" s="344"/>
      <c r="F97" s="344"/>
      <c r="G97" s="344"/>
      <c r="H97" s="344"/>
      <c r="I97" s="344"/>
      <c r="J97" s="344"/>
      <c r="K97" s="344"/>
      <c r="L97" s="344"/>
      <c r="M97" s="344"/>
      <c r="N97" s="344"/>
      <c r="O97" s="344"/>
      <c r="P97" s="344"/>
      <c r="Q97" s="344"/>
    </row>
    <row r="98" spans="1:17" ht="13.5" hidden="1" customHeight="1" x14ac:dyDescent="0.3">
      <c r="A98" s="344"/>
      <c r="B98" s="344"/>
      <c r="C98" s="344"/>
      <c r="D98" s="344"/>
      <c r="E98" s="344"/>
      <c r="F98" s="344"/>
      <c r="G98" s="344"/>
      <c r="H98" s="344"/>
      <c r="I98" s="344"/>
      <c r="J98" s="344"/>
      <c r="K98" s="344"/>
      <c r="L98" s="344"/>
      <c r="M98" s="344"/>
      <c r="N98" s="344"/>
      <c r="O98" s="344"/>
      <c r="P98" s="344"/>
      <c r="Q98" s="344"/>
    </row>
    <row r="99" spans="1:17" ht="13.5" hidden="1" customHeight="1" x14ac:dyDescent="0.3">
      <c r="A99" s="344"/>
      <c r="B99" s="344"/>
      <c r="C99" s="344"/>
      <c r="D99" s="344"/>
      <c r="E99" s="344"/>
      <c r="F99" s="344"/>
      <c r="G99" s="344"/>
      <c r="H99" s="344"/>
      <c r="I99" s="344"/>
      <c r="J99" s="344"/>
      <c r="K99" s="344"/>
      <c r="L99" s="344"/>
      <c r="M99" s="344"/>
      <c r="N99" s="344"/>
      <c r="O99" s="344"/>
      <c r="P99" s="344"/>
      <c r="Q99" s="344"/>
    </row>
    <row r="100" spans="1:17" ht="13.5" hidden="1" customHeight="1" x14ac:dyDescent="0.3">
      <c r="A100" s="344"/>
      <c r="B100" s="344"/>
      <c r="C100" s="344"/>
      <c r="D100" s="344"/>
      <c r="E100" s="344"/>
      <c r="F100" s="344"/>
      <c r="G100" s="344"/>
      <c r="H100" s="344"/>
      <c r="I100" s="344"/>
      <c r="J100" s="344"/>
      <c r="K100" s="344"/>
      <c r="L100" s="344"/>
      <c r="M100" s="344"/>
      <c r="N100" s="344"/>
      <c r="O100" s="344"/>
      <c r="P100" s="344"/>
      <c r="Q100" s="344"/>
    </row>
    <row r="101" spans="1:17" ht="13.5" hidden="1" customHeight="1" x14ac:dyDescent="0.3">
      <c r="A101" s="344"/>
      <c r="B101" s="344"/>
      <c r="C101" s="344"/>
      <c r="D101" s="344"/>
      <c r="E101" s="344"/>
      <c r="F101" s="344"/>
      <c r="G101" s="344"/>
      <c r="H101" s="344"/>
      <c r="I101" s="344"/>
      <c r="J101" s="344"/>
      <c r="K101" s="344"/>
      <c r="L101" s="344"/>
      <c r="M101" s="344"/>
      <c r="N101" s="344"/>
      <c r="O101" s="344"/>
      <c r="P101" s="344"/>
      <c r="Q101" s="344"/>
    </row>
  </sheetData>
  <mergeCells count="9">
    <mergeCell ref="C29:H29"/>
    <mergeCell ref="C30:H30"/>
    <mergeCell ref="C31:H31"/>
    <mergeCell ref="B2:L2"/>
    <mergeCell ref="B3:L3"/>
    <mergeCell ref="C6:K6"/>
    <mergeCell ref="D14:K14"/>
    <mergeCell ref="G15:I15"/>
    <mergeCell ref="C28:H28"/>
  </mergeCells>
  <pageMargins left="0.7" right="0.7" top="0.75" bottom="0.75" header="0" footer="0"/>
  <pageSetup orientation="portrait"/>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O101"/>
  <sheetViews>
    <sheetView showGridLines="0" rightToLeft="1" workbookViewId="0">
      <pane ySplit="1" topLeftCell="A33" activePane="bottomLeft" state="frozen"/>
      <selection pane="bottomLeft" activeCell="C14" sqref="C14:L14"/>
    </sheetView>
  </sheetViews>
  <sheetFormatPr defaultColWidth="14.3984375" defaultRowHeight="15" customHeight="1" x14ac:dyDescent="0.3"/>
  <cols>
    <col min="1" max="1" width="6.69921875" style="396" customWidth="1"/>
    <col min="2" max="2" width="1.3984375" style="342" customWidth="1"/>
    <col min="3" max="4" width="14.8984375" style="342" customWidth="1"/>
    <col min="5" max="5" width="39.09765625" style="342" customWidth="1"/>
    <col min="6" max="6" width="6.69921875" style="342" customWidth="1"/>
    <col min="7" max="7" width="6" style="342" customWidth="1"/>
    <col min="8" max="8" width="9.09765625" style="342" customWidth="1"/>
    <col min="9" max="12" width="3" style="342" customWidth="1"/>
    <col min="13" max="13" width="9.09765625" style="342" customWidth="1"/>
    <col min="14" max="15" width="9.09765625" style="342" hidden="1" customWidth="1"/>
    <col min="16" max="16384" width="14.3984375" style="342"/>
  </cols>
  <sheetData>
    <row r="1" spans="2:15" ht="49.5" customHeight="1" x14ac:dyDescent="0.3">
      <c r="C1" s="467" t="s">
        <v>241</v>
      </c>
      <c r="D1" s="452"/>
      <c r="E1" s="452"/>
      <c r="F1" s="452"/>
      <c r="G1" s="452"/>
      <c r="H1" s="452"/>
      <c r="I1" s="452"/>
      <c r="J1" s="452"/>
      <c r="K1" s="452"/>
      <c r="L1" s="452"/>
      <c r="O1" s="397"/>
    </row>
    <row r="2" spans="2:15" ht="6" customHeight="1" x14ac:dyDescent="0.3">
      <c r="C2" s="468"/>
      <c r="D2" s="469"/>
      <c r="E2" s="469"/>
    </row>
    <row r="3" spans="2:15" ht="22.5" customHeight="1" x14ac:dyDescent="0.3">
      <c r="B3" s="342" t="s">
        <v>21</v>
      </c>
      <c r="C3" s="464" t="s">
        <v>242</v>
      </c>
      <c r="D3" s="465"/>
      <c r="E3" s="465"/>
      <c r="F3" s="465"/>
      <c r="G3" s="465"/>
      <c r="H3" s="465"/>
      <c r="I3" s="465"/>
      <c r="J3" s="465"/>
      <c r="K3" s="465"/>
      <c r="L3" s="466"/>
    </row>
    <row r="4" spans="2:15" ht="21.75" customHeight="1" x14ac:dyDescent="0.3">
      <c r="B4" s="342" t="s">
        <v>21</v>
      </c>
      <c r="C4" s="470" t="s">
        <v>243</v>
      </c>
      <c r="D4" s="465"/>
      <c r="E4" s="465"/>
      <c r="F4" s="465"/>
      <c r="G4" s="465"/>
      <c r="H4" s="465"/>
      <c r="I4" s="465"/>
      <c r="J4" s="465"/>
      <c r="K4" s="465"/>
      <c r="L4" s="466"/>
    </row>
    <row r="5" spans="2:15" ht="21.75" customHeight="1" x14ac:dyDescent="0.3">
      <c r="B5" s="342" t="s">
        <v>21</v>
      </c>
      <c r="C5" s="471" t="s">
        <v>244</v>
      </c>
      <c r="D5" s="465"/>
      <c r="E5" s="465"/>
      <c r="F5" s="465"/>
      <c r="G5" s="398"/>
      <c r="H5" s="399"/>
      <c r="I5" s="399"/>
      <c r="J5" s="399"/>
      <c r="K5" s="399"/>
      <c r="L5" s="400"/>
    </row>
    <row r="6" spans="2:15" ht="21.75" customHeight="1" x14ac:dyDescent="0.3">
      <c r="B6" s="342" t="s">
        <v>21</v>
      </c>
      <c r="C6" s="464" t="s">
        <v>245</v>
      </c>
      <c r="D6" s="465"/>
      <c r="E6" s="465"/>
      <c r="F6" s="465"/>
      <c r="G6" s="465"/>
      <c r="H6" s="465"/>
      <c r="I6" s="465"/>
      <c r="J6" s="465"/>
      <c r="K6" s="465"/>
      <c r="L6" s="466"/>
    </row>
    <row r="7" spans="2:15" ht="21.75" customHeight="1" x14ac:dyDescent="0.3">
      <c r="B7" s="401" t="s">
        <v>21</v>
      </c>
      <c r="C7" s="464" t="s">
        <v>81</v>
      </c>
      <c r="D7" s="465"/>
      <c r="E7" s="465"/>
      <c r="F7" s="465"/>
      <c r="G7" s="465"/>
      <c r="H7" s="465"/>
      <c r="I7" s="465"/>
      <c r="J7" s="465"/>
      <c r="K7" s="465"/>
      <c r="L7" s="466"/>
    </row>
    <row r="8" spans="2:15" ht="21.75" customHeight="1" x14ac:dyDescent="0.3">
      <c r="B8" s="401" t="s">
        <v>21</v>
      </c>
      <c r="C8" s="464" t="s">
        <v>80</v>
      </c>
      <c r="D8" s="465"/>
      <c r="E8" s="465"/>
      <c r="F8" s="465"/>
      <c r="G8" s="465"/>
      <c r="H8" s="465"/>
      <c r="I8" s="465"/>
      <c r="J8" s="465"/>
      <c r="K8" s="465"/>
      <c r="L8" s="466"/>
    </row>
    <row r="9" spans="2:15" ht="21.75" customHeight="1" x14ac:dyDescent="0.3">
      <c r="B9" s="401" t="s">
        <v>21</v>
      </c>
      <c r="C9" s="464" t="s">
        <v>246</v>
      </c>
      <c r="D9" s="465"/>
      <c r="E9" s="465"/>
      <c r="F9" s="465"/>
      <c r="G9" s="465"/>
      <c r="H9" s="465"/>
      <c r="I9" s="465"/>
      <c r="J9" s="465"/>
      <c r="K9" s="465"/>
      <c r="L9" s="466"/>
    </row>
    <row r="10" spans="2:15" ht="21.75" customHeight="1" x14ac:dyDescent="0.3">
      <c r="B10" s="401" t="s">
        <v>21</v>
      </c>
      <c r="C10" s="464" t="s">
        <v>34</v>
      </c>
      <c r="D10" s="465"/>
      <c r="E10" s="465"/>
      <c r="F10" s="465"/>
      <c r="G10" s="465"/>
      <c r="H10" s="465"/>
      <c r="I10" s="465"/>
      <c r="J10" s="465"/>
      <c r="K10" s="465"/>
      <c r="L10" s="466"/>
    </row>
    <row r="11" spans="2:15" ht="21.75" customHeight="1" x14ac:dyDescent="0.3">
      <c r="B11" s="401" t="s">
        <v>21</v>
      </c>
      <c r="C11" s="464" t="s">
        <v>247</v>
      </c>
      <c r="D11" s="465"/>
      <c r="E11" s="465"/>
      <c r="F11" s="465"/>
      <c r="G11" s="465"/>
      <c r="H11" s="465"/>
      <c r="I11" s="465"/>
      <c r="J11" s="465"/>
      <c r="K11" s="465"/>
      <c r="L11" s="466"/>
    </row>
    <row r="12" spans="2:15" ht="23.25" customHeight="1" x14ac:dyDescent="0.3">
      <c r="B12" s="401" t="s">
        <v>21</v>
      </c>
      <c r="C12" s="464" t="s">
        <v>248</v>
      </c>
      <c r="D12" s="465"/>
      <c r="E12" s="465"/>
      <c r="F12" s="465"/>
      <c r="G12" s="465"/>
      <c r="H12" s="465"/>
      <c r="I12" s="465"/>
      <c r="J12" s="465"/>
      <c r="K12" s="465"/>
      <c r="L12" s="466"/>
    </row>
    <row r="13" spans="2:15" ht="23.25" customHeight="1" x14ac:dyDescent="0.3">
      <c r="B13" s="401" t="s">
        <v>21</v>
      </c>
      <c r="C13" s="464" t="s">
        <v>307</v>
      </c>
      <c r="D13" s="465"/>
      <c r="E13" s="465"/>
      <c r="F13" s="465"/>
      <c r="G13" s="465"/>
      <c r="H13" s="465"/>
      <c r="I13" s="465"/>
      <c r="J13" s="465"/>
      <c r="K13" s="465"/>
      <c r="L13" s="466"/>
    </row>
    <row r="14" spans="2:15" ht="23.25" customHeight="1" x14ac:dyDescent="0.3">
      <c r="B14" s="401" t="s">
        <v>21</v>
      </c>
      <c r="C14" s="464"/>
      <c r="D14" s="465"/>
      <c r="E14" s="465"/>
      <c r="F14" s="465"/>
      <c r="G14" s="465"/>
      <c r="H14" s="465"/>
      <c r="I14" s="465"/>
      <c r="J14" s="465"/>
      <c r="K14" s="465"/>
      <c r="L14" s="466"/>
    </row>
    <row r="15" spans="2:15" ht="16.5" customHeight="1" x14ac:dyDescent="0.3"/>
    <row r="16" spans="2:15"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spans="1:11" ht="24.75" customHeight="1" x14ac:dyDescent="0.3">
      <c r="A33" s="396" t="s">
        <v>249</v>
      </c>
    </row>
    <row r="34" spans="1:11" ht="14.25" customHeight="1" x14ac:dyDescent="0.3"/>
    <row r="35" spans="1:11" ht="14.25" customHeight="1" x14ac:dyDescent="0.3"/>
    <row r="36" spans="1:11" ht="14.25" customHeight="1" x14ac:dyDescent="0.3"/>
    <row r="37" spans="1:11" ht="14.25" customHeight="1" x14ac:dyDescent="0.3"/>
    <row r="38" spans="1:11" ht="14.25" customHeight="1" x14ac:dyDescent="0.3"/>
    <row r="39" spans="1:11" ht="14.25" hidden="1" customHeight="1" x14ac:dyDescent="0.3"/>
    <row r="40" spans="1:11" ht="14.25" hidden="1" customHeight="1" x14ac:dyDescent="0.3"/>
    <row r="41" spans="1:11" ht="14.25" hidden="1" customHeight="1" x14ac:dyDescent="0.3">
      <c r="I41" s="402"/>
      <c r="J41" s="402"/>
      <c r="K41" s="402"/>
    </row>
    <row r="42" spans="1:11" ht="14.25" hidden="1" customHeight="1" x14ac:dyDescent="0.3">
      <c r="H42" s="402"/>
      <c r="I42" s="402"/>
      <c r="J42" s="402"/>
      <c r="K42" s="402"/>
    </row>
    <row r="43" spans="1:11" ht="14.25" hidden="1" customHeight="1" x14ac:dyDescent="0.3">
      <c r="H43" s="402"/>
      <c r="I43" s="402"/>
      <c r="J43" s="402"/>
      <c r="K43" s="402"/>
    </row>
    <row r="44" spans="1:11" ht="14.25" hidden="1" customHeight="1" x14ac:dyDescent="0.3">
      <c r="H44" s="402"/>
      <c r="I44" s="402"/>
      <c r="J44" s="402"/>
      <c r="K44" s="402"/>
    </row>
    <row r="45" spans="1:11" ht="14.25" hidden="1" customHeight="1" x14ac:dyDescent="0.3">
      <c r="H45" s="402"/>
      <c r="I45" s="402"/>
      <c r="J45" s="402"/>
      <c r="K45" s="402"/>
    </row>
    <row r="46" spans="1:11" ht="14.25" hidden="1" customHeight="1" x14ac:dyDescent="0.3">
      <c r="H46" s="402"/>
      <c r="I46" s="402"/>
      <c r="J46" s="402"/>
      <c r="K46" s="402"/>
    </row>
    <row r="47" spans="1:11" ht="14.25" hidden="1" customHeight="1" x14ac:dyDescent="0.3">
      <c r="H47" s="402"/>
      <c r="I47" s="402"/>
      <c r="J47" s="402"/>
      <c r="K47" s="402"/>
    </row>
    <row r="48" spans="1:11" ht="14.25" hidden="1" customHeight="1" x14ac:dyDescent="0.3">
      <c r="H48" s="402"/>
      <c r="I48" s="402"/>
      <c r="J48" s="402"/>
      <c r="K48" s="402"/>
    </row>
    <row r="49" spans="8:11" ht="14.25" hidden="1" customHeight="1" x14ac:dyDescent="0.3">
      <c r="H49" s="402"/>
      <c r="I49" s="402"/>
      <c r="J49" s="402"/>
      <c r="K49" s="402"/>
    </row>
    <row r="50" spans="8:11" ht="14.25" hidden="1" customHeight="1" x14ac:dyDescent="0.3">
      <c r="H50" s="402"/>
      <c r="I50" s="402"/>
      <c r="J50" s="402"/>
      <c r="K50" s="402"/>
    </row>
    <row r="51" spans="8:11" ht="14.25" hidden="1" customHeight="1" x14ac:dyDescent="0.3">
      <c r="H51" s="402"/>
      <c r="I51" s="402"/>
      <c r="J51" s="402"/>
      <c r="K51" s="402"/>
    </row>
    <row r="52" spans="8:11" ht="14.25" hidden="1" customHeight="1" x14ac:dyDescent="0.3">
      <c r="H52" s="402"/>
      <c r="I52" s="402"/>
      <c r="J52" s="402"/>
      <c r="K52" s="402"/>
    </row>
    <row r="53" spans="8:11" ht="14.25" hidden="1" customHeight="1" x14ac:dyDescent="0.3"/>
    <row r="54" spans="8:11" ht="14.25" hidden="1" customHeight="1" x14ac:dyDescent="0.3"/>
    <row r="55" spans="8:11" ht="14.25" hidden="1" customHeight="1" x14ac:dyDescent="0.3"/>
    <row r="56" spans="8:11" ht="14.25" hidden="1" customHeight="1" x14ac:dyDescent="0.3"/>
    <row r="57" spans="8:11" ht="14.25" hidden="1" customHeight="1" x14ac:dyDescent="0.3"/>
    <row r="58" spans="8:11" ht="14.25" customHeight="1" x14ac:dyDescent="0.3"/>
    <row r="59" spans="8:11" ht="14.25" customHeight="1" x14ac:dyDescent="0.3"/>
    <row r="60" spans="8:11" ht="14.25" customHeight="1" x14ac:dyDescent="0.3"/>
    <row r="61" spans="8:11" ht="14.25" customHeight="1" x14ac:dyDescent="0.3"/>
    <row r="62" spans="8:11" ht="14.25" customHeight="1" x14ac:dyDescent="0.3"/>
    <row r="63" spans="8:11" ht="14.25" customHeight="1" x14ac:dyDescent="0.3"/>
    <row r="64" spans="8:11"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sheetData>
  <mergeCells count="14">
    <mergeCell ref="C13:L13"/>
    <mergeCell ref="C14:L14"/>
    <mergeCell ref="C7:L7"/>
    <mergeCell ref="C8:L8"/>
    <mergeCell ref="C9:L9"/>
    <mergeCell ref="C10:L10"/>
    <mergeCell ref="C11:L11"/>
    <mergeCell ref="C12:L12"/>
    <mergeCell ref="C6:L6"/>
    <mergeCell ref="C1:L1"/>
    <mergeCell ref="C2:E2"/>
    <mergeCell ref="C3:L3"/>
    <mergeCell ref="C4:L4"/>
    <mergeCell ref="C5:F5"/>
  </mergeCells>
  <pageMargins left="0.7" right="0.7" top="0.75" bottom="0.75" header="0" footer="0"/>
  <pageSetup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8" tint="0.39997558519241921"/>
  </sheetPr>
  <dimension ref="B1:D17"/>
  <sheetViews>
    <sheetView showGridLines="0" rightToLeft="1" workbookViewId="0">
      <pane ySplit="1" topLeftCell="A2" activePane="bottomLeft" state="frozen"/>
      <selection pane="bottomLeft" activeCell="D19" sqref="D19"/>
    </sheetView>
  </sheetViews>
  <sheetFormatPr defaultColWidth="9.09765625" defaultRowHeight="13.8" x14ac:dyDescent="0.25"/>
  <cols>
    <col min="1" max="1" width="9.09765625" style="21"/>
    <col min="2" max="2" width="14.09765625" style="21" bestFit="1" customWidth="1"/>
    <col min="3" max="3" width="28.3984375" style="21" bestFit="1" customWidth="1"/>
    <col min="4" max="4" width="27.3984375" style="21" bestFit="1" customWidth="1"/>
    <col min="5" max="16384" width="9.09765625" style="21"/>
  </cols>
  <sheetData>
    <row r="1" spans="2:4" ht="21.75" customHeight="1" x14ac:dyDescent="0.25"/>
    <row r="2" spans="2:4" ht="5.25" customHeight="1" x14ac:dyDescent="0.25"/>
    <row r="4" spans="2:4" ht="28.5" customHeight="1" x14ac:dyDescent="0.25">
      <c r="B4" s="472" t="s">
        <v>201</v>
      </c>
      <c r="C4" s="472"/>
      <c r="D4" s="472"/>
    </row>
    <row r="5" spans="2:4" ht="21" customHeight="1" x14ac:dyDescent="0.25">
      <c r="B5" s="473" t="s">
        <v>202</v>
      </c>
      <c r="C5" s="326" t="s">
        <v>203</v>
      </c>
      <c r="D5" s="333" t="s">
        <v>300</v>
      </c>
    </row>
    <row r="6" spans="2:4" ht="21" customHeight="1" x14ac:dyDescent="0.25">
      <c r="B6" s="474"/>
      <c r="C6" s="326" t="s">
        <v>25</v>
      </c>
      <c r="D6" s="334"/>
    </row>
    <row r="7" spans="2:4" ht="21" customHeight="1" x14ac:dyDescent="0.25">
      <c r="B7" s="474"/>
      <c r="C7" s="326" t="s">
        <v>26</v>
      </c>
      <c r="D7" s="333" t="s">
        <v>301</v>
      </c>
    </row>
    <row r="8" spans="2:4" ht="21" customHeight="1" x14ac:dyDescent="0.25">
      <c r="B8" s="475"/>
      <c r="C8" s="326" t="s">
        <v>86</v>
      </c>
      <c r="D8" s="335" t="s">
        <v>302</v>
      </c>
    </row>
    <row r="9" spans="2:4" ht="21" customHeight="1" x14ac:dyDescent="0.25"/>
    <row r="10" spans="2:4" ht="21" customHeight="1" x14ac:dyDescent="0.25">
      <c r="B10" s="473" t="s">
        <v>204</v>
      </c>
      <c r="C10" s="327" t="s">
        <v>24</v>
      </c>
      <c r="D10" s="333" t="s">
        <v>250</v>
      </c>
    </row>
    <row r="11" spans="2:4" ht="21" customHeight="1" x14ac:dyDescent="0.25">
      <c r="B11" s="474"/>
      <c r="C11" s="326" t="s">
        <v>87</v>
      </c>
      <c r="D11" s="333" t="s">
        <v>304</v>
      </c>
    </row>
    <row r="12" spans="2:4" ht="14.4" x14ac:dyDescent="0.25">
      <c r="B12" s="474"/>
      <c r="C12" s="326" t="s">
        <v>205</v>
      </c>
      <c r="D12" s="336">
        <v>45313</v>
      </c>
    </row>
    <row r="13" spans="2:4" ht="14.4" x14ac:dyDescent="0.25">
      <c r="B13" s="474"/>
      <c r="C13" s="326" t="s">
        <v>206</v>
      </c>
      <c r="D13" s="328">
        <v>2024</v>
      </c>
    </row>
    <row r="14" spans="2:4" ht="14.4" x14ac:dyDescent="0.25">
      <c r="B14" s="475"/>
      <c r="C14" s="329" t="s">
        <v>114</v>
      </c>
      <c r="D14" s="333" t="s">
        <v>303</v>
      </c>
    </row>
    <row r="16" spans="2:4" ht="14.4" x14ac:dyDescent="0.25">
      <c r="B16" s="473" t="s">
        <v>207</v>
      </c>
      <c r="C16" s="331" t="s">
        <v>208</v>
      </c>
      <c r="D16" s="328" t="str">
        <f>D14</f>
        <v>الريال السعودي</v>
      </c>
    </row>
    <row r="17" spans="2:4" ht="14.4" x14ac:dyDescent="0.25">
      <c r="B17" s="475"/>
      <c r="C17" s="332" t="s">
        <v>209</v>
      </c>
      <c r="D17" s="330">
        <v>1</v>
      </c>
    </row>
  </sheetData>
  <sheetProtection formatCells="0" formatColumns="0" formatRows="0"/>
  <mergeCells count="4">
    <mergeCell ref="B4:D4"/>
    <mergeCell ref="B5:B8"/>
    <mergeCell ref="B10:B14"/>
    <mergeCell ref="B16:B17"/>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8" tint="0.59999389629810485"/>
  </sheetPr>
  <dimension ref="A1:Y230"/>
  <sheetViews>
    <sheetView showGridLines="0" rightToLeft="1" zoomScaleNormal="100" workbookViewId="0">
      <pane ySplit="4" topLeftCell="A5" activePane="bottomLeft" state="frozen"/>
      <selection pane="bottomLeft" activeCell="C16" sqref="C16"/>
    </sheetView>
  </sheetViews>
  <sheetFormatPr defaultColWidth="9.09765625" defaultRowHeight="13.8" outlineLevelRow="1" x14ac:dyDescent="0.25"/>
  <cols>
    <col min="1" max="1" width="5.296875" style="55" customWidth="1"/>
    <col min="2" max="2" width="27.8984375" style="1" customWidth="1"/>
    <col min="3" max="3" width="20.8984375" style="1" bestFit="1" customWidth="1"/>
    <col min="4" max="4" width="14" style="1" bestFit="1" customWidth="1"/>
    <col min="5" max="5" width="13.8984375" style="1" customWidth="1"/>
    <col min="6" max="6" width="14.8984375" style="1" bestFit="1" customWidth="1"/>
    <col min="7" max="7" width="18.09765625" style="1" customWidth="1"/>
    <col min="8" max="8" width="19.3984375" style="1" bestFit="1" customWidth="1"/>
    <col min="9" max="9" width="14.09765625" style="1" customWidth="1"/>
    <col min="10" max="10" width="15.09765625" style="1" customWidth="1"/>
    <col min="11" max="11" width="14.3984375" style="1" customWidth="1"/>
    <col min="12" max="12" width="16" style="1" customWidth="1"/>
    <col min="13" max="13" width="11.296875" style="1" customWidth="1"/>
    <col min="14" max="14" width="14.3984375" style="1" customWidth="1"/>
    <col min="15" max="16" width="15.09765625" style="1" customWidth="1"/>
    <col min="17" max="17" width="10.3984375" style="1" bestFit="1" customWidth="1"/>
    <col min="18" max="18" width="10" style="1" bestFit="1" customWidth="1"/>
    <col min="19" max="20" width="10.09765625" style="1" bestFit="1" customWidth="1"/>
    <col min="21" max="21" width="14.3984375" style="1" customWidth="1"/>
    <col min="22" max="22" width="12.3984375" style="1" bestFit="1" customWidth="1"/>
    <col min="23" max="23" width="10.3984375" style="1" bestFit="1" customWidth="1"/>
    <col min="24" max="24" width="9.09765625" style="1"/>
    <col min="25" max="25" width="12.3984375" style="1" customWidth="1"/>
    <col min="26" max="16384" width="9.09765625" style="1"/>
  </cols>
  <sheetData>
    <row r="1" spans="1:23" ht="15.6" thickTop="1" thickBot="1" x14ac:dyDescent="0.3">
      <c r="B1" s="138" t="s">
        <v>229</v>
      </c>
      <c r="C1" s="139">
        <f>'بيانات الدراسة'!D13</f>
        <v>2024</v>
      </c>
      <c r="D1" s="139">
        <f>C1+1</f>
        <v>2025</v>
      </c>
      <c r="E1" s="139">
        <f>D1+1</f>
        <v>2026</v>
      </c>
      <c r="F1" s="139">
        <f>E1+1</f>
        <v>2027</v>
      </c>
      <c r="G1" s="139">
        <f>F1+1</f>
        <v>2028</v>
      </c>
      <c r="H1" s="139" t="s">
        <v>6</v>
      </c>
      <c r="I1" s="140" t="s">
        <v>137</v>
      </c>
    </row>
    <row r="2" spans="1:23" ht="15.6" thickTop="1" thickBot="1" x14ac:dyDescent="0.3">
      <c r="B2" s="141" t="s">
        <v>160</v>
      </c>
      <c r="C2" s="143">
        <f>'التقرير '!H280</f>
        <v>4317662</v>
      </c>
      <c r="D2" s="143">
        <f>'التقرير '!I280</f>
        <v>6499961</v>
      </c>
      <c r="E2" s="143">
        <f>'التقرير '!J280</f>
        <v>7999952</v>
      </c>
      <c r="F2" s="143">
        <f>'التقرير '!K280</f>
        <v>8999946</v>
      </c>
      <c r="G2" s="143">
        <f>'التقرير '!L280</f>
        <v>9999940</v>
      </c>
      <c r="H2" s="426">
        <f>SUM(C2:G2)</f>
        <v>37817461</v>
      </c>
      <c r="I2" s="493">
        <f>'التقرير '!L112</f>
        <v>2.7905997755903851</v>
      </c>
      <c r="U2" s="106"/>
    </row>
    <row r="3" spans="1:23" ht="15.6" thickTop="1" thickBot="1" x14ac:dyDescent="0.3">
      <c r="B3" s="141" t="s">
        <v>161</v>
      </c>
      <c r="C3" s="142">
        <f>'التقرير '!J178</f>
        <v>-219579.40000000037</v>
      </c>
      <c r="D3" s="142">
        <f>'التقرير '!K178</f>
        <v>789714.91963025427</v>
      </c>
      <c r="E3" s="142">
        <f>'التقرير '!L178</f>
        <v>1389550.4769957196</v>
      </c>
      <c r="F3" s="142">
        <f>'التقرير '!M178</f>
        <v>1694788.9948558032</v>
      </c>
      <c r="G3" s="142">
        <f>'التقرير '!N178</f>
        <v>2070436.2347302893</v>
      </c>
      <c r="H3" s="427">
        <f>SUM(C3:G3)</f>
        <v>5724911.2262120657</v>
      </c>
      <c r="I3" s="494"/>
    </row>
    <row r="4" spans="1:23" ht="14.4" thickTop="1" x14ac:dyDescent="0.25">
      <c r="B4" s="105" t="s">
        <v>138</v>
      </c>
      <c r="C4" s="144">
        <f>IFERROR(C3/C2,0)</f>
        <v>-5.0856088318168576E-2</v>
      </c>
      <c r="D4" s="144">
        <f t="shared" ref="D4:H4" si="0">IFERROR(D3/D2,0)</f>
        <v>0.12149533199203107</v>
      </c>
      <c r="E4" s="144">
        <f t="shared" si="0"/>
        <v>0.17369485179357572</v>
      </c>
      <c r="F4" s="144">
        <f t="shared" si="0"/>
        <v>0.18831101818342058</v>
      </c>
      <c r="G4" s="144">
        <f t="shared" si="0"/>
        <v>0.20704486574222339</v>
      </c>
      <c r="H4" s="144">
        <f t="shared" si="0"/>
        <v>0.15138274952440794</v>
      </c>
      <c r="I4" s="104"/>
      <c r="S4" s="104"/>
    </row>
    <row r="5" spans="1:23" ht="18" x14ac:dyDescent="0.25">
      <c r="A5" s="55">
        <v>1</v>
      </c>
      <c r="B5" s="149" t="s">
        <v>0</v>
      </c>
      <c r="C5" s="150"/>
      <c r="D5" s="150"/>
      <c r="E5" s="150"/>
      <c r="F5" s="150"/>
      <c r="G5" s="150"/>
      <c r="M5" s="106"/>
      <c r="N5" s="106"/>
      <c r="O5" s="106"/>
      <c r="P5" s="106"/>
      <c r="Q5" s="106"/>
      <c r="R5" s="106"/>
    </row>
    <row r="6" spans="1:23" ht="15" hidden="1" customHeight="1" outlineLevel="1" x14ac:dyDescent="0.25">
      <c r="B6" s="486" t="s">
        <v>166</v>
      </c>
      <c r="C6" s="499"/>
      <c r="D6" s="499"/>
      <c r="E6" s="499"/>
      <c r="F6" s="499"/>
      <c r="G6" s="499"/>
      <c r="H6" s="3"/>
      <c r="I6" s="3"/>
      <c r="J6" s="3"/>
      <c r="K6" s="3"/>
      <c r="L6" s="3"/>
      <c r="M6" s="3"/>
      <c r="N6" s="3"/>
      <c r="O6" s="3"/>
      <c r="P6" s="3"/>
      <c r="Q6" s="3"/>
      <c r="R6" s="3"/>
      <c r="S6" s="3"/>
      <c r="T6" s="3"/>
      <c r="U6" s="3"/>
      <c r="V6" s="3"/>
      <c r="W6" s="3"/>
    </row>
    <row r="7" spans="1:23" hidden="1" outlineLevel="1" x14ac:dyDescent="0.25">
      <c r="B7" s="499"/>
      <c r="C7" s="499"/>
      <c r="D7" s="499"/>
      <c r="E7" s="499"/>
      <c r="F7" s="499"/>
      <c r="G7" s="499"/>
      <c r="H7" s="3"/>
      <c r="I7" s="3"/>
      <c r="J7" s="3"/>
      <c r="K7" s="3"/>
      <c r="L7" s="3"/>
      <c r="M7" s="3"/>
      <c r="N7" s="3"/>
      <c r="O7" s="3"/>
      <c r="P7" s="3"/>
      <c r="Q7" s="3"/>
      <c r="R7" s="3"/>
      <c r="S7" s="3"/>
      <c r="T7" s="3"/>
      <c r="U7" s="3"/>
      <c r="V7" s="3"/>
      <c r="W7" s="3"/>
    </row>
    <row r="8" spans="1:23" hidden="1" outlineLevel="1" x14ac:dyDescent="0.25">
      <c r="B8" s="499"/>
      <c r="C8" s="499"/>
      <c r="D8" s="499"/>
      <c r="E8" s="499"/>
      <c r="F8" s="499"/>
      <c r="G8" s="499"/>
      <c r="H8" s="3"/>
      <c r="I8" s="3"/>
      <c r="J8" s="3"/>
      <c r="K8" s="3"/>
      <c r="L8" s="3"/>
      <c r="M8" s="3"/>
      <c r="N8" s="3"/>
      <c r="O8" s="3"/>
      <c r="P8" s="3"/>
      <c r="Q8" s="3"/>
      <c r="R8" s="3"/>
      <c r="S8" s="3"/>
      <c r="T8" s="3"/>
      <c r="U8" s="3"/>
      <c r="V8" s="3"/>
      <c r="W8" s="3"/>
    </row>
    <row r="9" spans="1:23" hidden="1" outlineLevel="1" x14ac:dyDescent="0.25">
      <c r="B9" s="499"/>
      <c r="C9" s="499"/>
      <c r="D9" s="499"/>
      <c r="E9" s="499"/>
      <c r="F9" s="499"/>
      <c r="G9" s="499"/>
      <c r="H9" s="3"/>
      <c r="I9" s="3"/>
      <c r="J9" s="3"/>
      <c r="K9" s="3"/>
      <c r="L9" s="3"/>
      <c r="M9" s="3"/>
      <c r="N9" s="3"/>
      <c r="O9" s="3"/>
      <c r="P9" s="3"/>
      <c r="Q9" s="3"/>
      <c r="R9" s="3"/>
      <c r="S9" s="3"/>
      <c r="T9" s="3"/>
      <c r="U9" s="3"/>
      <c r="V9" s="3"/>
      <c r="W9" s="3"/>
    </row>
    <row r="10" spans="1:23" hidden="1" outlineLevel="1" x14ac:dyDescent="0.25">
      <c r="B10" s="499"/>
      <c r="C10" s="499"/>
      <c r="D10" s="499"/>
      <c r="E10" s="499"/>
      <c r="F10" s="499"/>
      <c r="G10" s="499"/>
      <c r="H10" s="3"/>
      <c r="I10" s="3"/>
      <c r="J10" s="3"/>
      <c r="K10" s="3"/>
      <c r="L10" s="3"/>
      <c r="M10" s="3"/>
      <c r="N10" s="3"/>
      <c r="O10" s="3"/>
      <c r="P10" s="3"/>
      <c r="Q10" s="3"/>
      <c r="R10" s="3"/>
      <c r="S10" s="3"/>
      <c r="T10" s="3"/>
      <c r="U10" s="3"/>
      <c r="V10" s="3"/>
      <c r="W10" s="3"/>
    </row>
    <row r="11" spans="1:23" hidden="1" outlineLevel="1" x14ac:dyDescent="0.25">
      <c r="B11" s="499"/>
      <c r="C11" s="499"/>
      <c r="D11" s="499"/>
      <c r="E11" s="499"/>
      <c r="F11" s="499"/>
      <c r="G11" s="499"/>
      <c r="H11" s="3"/>
      <c r="I11" s="3"/>
      <c r="J11" s="3"/>
      <c r="K11" s="3"/>
      <c r="L11" s="3"/>
      <c r="M11" s="3"/>
      <c r="N11" s="3"/>
      <c r="O11" s="3"/>
      <c r="P11" s="3"/>
      <c r="Q11" s="3"/>
      <c r="R11" s="3"/>
      <c r="S11" s="3"/>
      <c r="T11" s="3"/>
      <c r="U11" s="3"/>
      <c r="V11" s="3"/>
      <c r="W11" s="3"/>
    </row>
    <row r="12" spans="1:23" hidden="1" outlineLevel="1" x14ac:dyDescent="0.25">
      <c r="B12" s="499"/>
      <c r="C12" s="499"/>
      <c r="D12" s="499"/>
      <c r="E12" s="499"/>
      <c r="F12" s="499"/>
      <c r="G12" s="499"/>
      <c r="H12" s="3"/>
      <c r="I12" s="3"/>
      <c r="J12" s="3"/>
      <c r="K12" s="3"/>
      <c r="L12" s="3"/>
      <c r="M12" s="3"/>
      <c r="N12" s="3"/>
      <c r="O12" s="3"/>
      <c r="P12" s="3"/>
      <c r="Q12" s="3"/>
      <c r="R12" s="3"/>
      <c r="S12" s="3"/>
      <c r="T12" s="3"/>
      <c r="U12" s="3"/>
      <c r="V12" s="3"/>
      <c r="W12" s="3"/>
    </row>
    <row r="13" spans="1:23" hidden="1" outlineLevel="1" x14ac:dyDescent="0.25">
      <c r="B13" s="499"/>
      <c r="C13" s="499"/>
      <c r="D13" s="499"/>
      <c r="E13" s="499"/>
      <c r="F13" s="499"/>
      <c r="G13" s="499"/>
      <c r="H13" s="3"/>
      <c r="I13" s="3"/>
      <c r="J13" s="3"/>
      <c r="K13" s="3"/>
      <c r="L13" s="3"/>
      <c r="M13" s="3"/>
      <c r="N13" s="3"/>
      <c r="O13" s="3"/>
      <c r="P13" s="3"/>
      <c r="Q13" s="3"/>
      <c r="R13" s="3"/>
      <c r="S13" s="3"/>
      <c r="T13" s="3"/>
      <c r="U13" s="3"/>
      <c r="V13" s="3"/>
      <c r="W13" s="3"/>
    </row>
    <row r="14" spans="1:23" hidden="1" outlineLevel="1" x14ac:dyDescent="0.25">
      <c r="B14" s="499"/>
      <c r="C14" s="499"/>
      <c r="D14" s="499"/>
      <c r="E14" s="499"/>
      <c r="F14" s="499"/>
      <c r="G14" s="499"/>
      <c r="H14" s="3"/>
      <c r="I14" s="3"/>
      <c r="J14" s="3"/>
      <c r="K14" s="3"/>
      <c r="L14" s="3"/>
      <c r="M14" s="3"/>
      <c r="N14" s="3"/>
      <c r="O14" s="3"/>
      <c r="P14" s="3"/>
      <c r="Q14" s="3"/>
      <c r="R14" s="3"/>
      <c r="S14" s="3"/>
      <c r="T14" s="3"/>
      <c r="U14" s="3"/>
      <c r="V14" s="3"/>
      <c r="W14" s="3"/>
    </row>
    <row r="15" spans="1:23" hidden="1" outlineLevel="1" x14ac:dyDescent="0.25">
      <c r="B15" s="499"/>
      <c r="C15" s="499"/>
      <c r="D15" s="499"/>
      <c r="E15" s="499"/>
      <c r="F15" s="499"/>
      <c r="G15" s="499"/>
      <c r="H15" s="3"/>
      <c r="I15" s="3"/>
      <c r="J15" s="3"/>
      <c r="K15" s="3"/>
      <c r="L15" s="3"/>
      <c r="M15" s="3"/>
      <c r="N15" s="3"/>
      <c r="O15" s="3"/>
      <c r="P15" s="3"/>
      <c r="Q15" s="3"/>
      <c r="R15" s="3"/>
      <c r="S15" s="3"/>
      <c r="T15" s="3"/>
      <c r="U15" s="3"/>
      <c r="V15" s="3"/>
      <c r="W15" s="3"/>
    </row>
    <row r="16" spans="1:23" collapsed="1" x14ac:dyDescent="0.25">
      <c r="B16" s="3"/>
      <c r="C16" s="3"/>
      <c r="D16" s="3"/>
      <c r="E16" s="3"/>
      <c r="F16" s="3"/>
      <c r="G16" s="3"/>
      <c r="H16" s="3"/>
      <c r="I16" s="3"/>
      <c r="J16" s="3"/>
      <c r="K16" s="3"/>
      <c r="L16" s="3"/>
      <c r="M16" s="3"/>
      <c r="N16" s="3"/>
      <c r="O16" s="3"/>
      <c r="P16" s="3"/>
      <c r="Q16" s="3"/>
      <c r="R16" s="3"/>
      <c r="S16" s="3"/>
      <c r="T16" s="3"/>
      <c r="U16" s="3"/>
      <c r="V16" s="3"/>
      <c r="W16" s="3"/>
    </row>
    <row r="17" spans="1:18" ht="18" x14ac:dyDescent="0.25">
      <c r="A17" s="145">
        <v>1</v>
      </c>
      <c r="B17" s="146" t="s">
        <v>162</v>
      </c>
      <c r="C17" s="147"/>
      <c r="D17" s="147"/>
      <c r="E17" s="147"/>
      <c r="F17" s="147"/>
      <c r="G17" s="147"/>
      <c r="H17" s="147"/>
      <c r="I17" s="147"/>
      <c r="J17" s="147"/>
      <c r="K17" s="147"/>
      <c r="L17" s="19"/>
      <c r="R17" s="19"/>
    </row>
    <row r="18" spans="1:18" ht="49.5" hidden="1" customHeight="1" outlineLevel="1" x14ac:dyDescent="0.25">
      <c r="B18" s="498" t="s">
        <v>165</v>
      </c>
      <c r="C18" s="498"/>
      <c r="D18" s="498"/>
      <c r="E18" s="498"/>
      <c r="F18" s="498"/>
      <c r="G18" s="498"/>
      <c r="H18" s="498"/>
      <c r="I18" s="498"/>
      <c r="J18" s="498"/>
      <c r="K18" s="498"/>
      <c r="L18" s="40"/>
      <c r="M18" s="40"/>
      <c r="N18" s="40"/>
      <c r="O18" s="40"/>
      <c r="P18" s="40"/>
      <c r="Q18" s="40"/>
    </row>
    <row r="19" spans="1:18" ht="15.6" hidden="1" outlineLevel="1" x14ac:dyDescent="0.25">
      <c r="B19" s="495" t="s">
        <v>163</v>
      </c>
      <c r="C19" s="496"/>
      <c r="D19" s="496"/>
      <c r="E19" s="496"/>
      <c r="F19" s="497" t="s">
        <v>164</v>
      </c>
      <c r="G19" s="497"/>
      <c r="H19" s="497"/>
      <c r="I19" s="497"/>
      <c r="J19" s="497"/>
      <c r="K19" s="497"/>
      <c r="L19" s="40"/>
      <c r="M19" s="40"/>
      <c r="N19" s="40"/>
      <c r="O19" s="40"/>
      <c r="P19" s="40"/>
      <c r="Q19" s="40"/>
    </row>
    <row r="20" spans="1:18" ht="42" hidden="1" outlineLevel="1" x14ac:dyDescent="0.25">
      <c r="B20" s="420" t="s">
        <v>3</v>
      </c>
      <c r="C20" s="420" t="s">
        <v>119</v>
      </c>
      <c r="D20" s="420" t="s">
        <v>4</v>
      </c>
      <c r="E20" s="420" t="s">
        <v>6</v>
      </c>
      <c r="F20" s="420" t="s">
        <v>120</v>
      </c>
      <c r="G20" s="421">
        <f>C1</f>
        <v>2024</v>
      </c>
      <c r="H20" s="421">
        <f>D1</f>
        <v>2025</v>
      </c>
      <c r="I20" s="421">
        <f>E1</f>
        <v>2026</v>
      </c>
      <c r="J20" s="421">
        <f>F1</f>
        <v>2027</v>
      </c>
      <c r="K20" s="421">
        <f>G1</f>
        <v>2028</v>
      </c>
      <c r="O20" s="40"/>
      <c r="P20" s="40"/>
      <c r="Q20" s="40"/>
    </row>
    <row r="21" spans="1:18" hidden="1" outlineLevel="1" x14ac:dyDescent="0.25">
      <c r="B21" s="403" t="s">
        <v>266</v>
      </c>
      <c r="C21" s="404">
        <v>1</v>
      </c>
      <c r="D21" s="151">
        <v>3000</v>
      </c>
      <c r="E21" s="148">
        <f>C21*D21</f>
        <v>3000</v>
      </c>
      <c r="F21" s="404">
        <v>3</v>
      </c>
      <c r="G21" s="148">
        <f>IF(F21=0,0,E21/F21)</f>
        <v>1000</v>
      </c>
      <c r="H21" s="148">
        <f>IF($E21-SUM($G21:G21)&gt;=$G21,$G21,0)</f>
        <v>1000</v>
      </c>
      <c r="I21" s="148">
        <f>IF($E21-SUM($G21:H21)&gt;=$G21,$G21,0)</f>
        <v>1000</v>
      </c>
      <c r="J21" s="148">
        <f>IF($E21-SUM($G21:I21)&gt;=$G21,$G21,0)</f>
        <v>0</v>
      </c>
      <c r="K21" s="148">
        <f>IF($E21-SUM($G21:J21)&gt;=$G21,$G21,0)</f>
        <v>0</v>
      </c>
      <c r="O21" s="40"/>
      <c r="P21" s="40"/>
      <c r="Q21" s="40"/>
    </row>
    <row r="22" spans="1:18" hidden="1" outlineLevel="1" x14ac:dyDescent="0.25">
      <c r="B22" s="403" t="s">
        <v>265</v>
      </c>
      <c r="C22" s="404">
        <v>1</v>
      </c>
      <c r="D22" s="151">
        <v>2000</v>
      </c>
      <c r="E22" s="148">
        <f>C22*D22</f>
        <v>2000</v>
      </c>
      <c r="F22" s="404">
        <v>3</v>
      </c>
      <c r="G22" s="148">
        <f>IF(F22=0,0,E22/F22)</f>
        <v>666.66666666666663</v>
      </c>
      <c r="H22" s="148">
        <f>IF($E22-SUM($G22:G22)&gt;=$G22,$G22,0)</f>
        <v>666.66666666666663</v>
      </c>
      <c r="I22" s="148">
        <f>IF($E22-SUM($G22:H22)&gt;=$G22,$G22,0)</f>
        <v>666.66666666666663</v>
      </c>
      <c r="J22" s="148">
        <f>IF($E22-SUM($G22:I22)&gt;=$G22,$G22,0)</f>
        <v>0</v>
      </c>
      <c r="K22" s="148">
        <f>IF($E22-SUM($G22:J22)&gt;=$G22,$G22,0)</f>
        <v>0</v>
      </c>
      <c r="O22" s="40"/>
      <c r="P22" s="40"/>
      <c r="Q22" s="40"/>
    </row>
    <row r="23" spans="1:18" ht="14.4" hidden="1" outlineLevel="1" thickBot="1" x14ac:dyDescent="0.3">
      <c r="B23" s="416" t="s">
        <v>267</v>
      </c>
      <c r="C23" s="417">
        <v>2</v>
      </c>
      <c r="D23" s="418">
        <v>2000</v>
      </c>
      <c r="E23" s="419">
        <f>C23*D23</f>
        <v>4000</v>
      </c>
      <c r="F23" s="417">
        <v>3</v>
      </c>
      <c r="G23" s="419">
        <f>IF(F23=0,0,E23/F23)</f>
        <v>1333.3333333333333</v>
      </c>
      <c r="H23" s="419">
        <f>IF($E23-SUM($G23:G23)&gt;=$G23,$G23,0)</f>
        <v>1333.3333333333333</v>
      </c>
      <c r="I23" s="419">
        <f>IF($E23-SUM($G23:H23)&gt;=$G23,$G23,0)</f>
        <v>1333.3333333333333</v>
      </c>
      <c r="J23" s="419">
        <f>IF($E23-SUM($G23:I23)&gt;=$G23,$G23,0)</f>
        <v>0</v>
      </c>
      <c r="K23" s="419">
        <f>IF($E23-SUM($G23:J23)&gt;=$G23,$G23,0)</f>
        <v>0</v>
      </c>
      <c r="O23" s="40"/>
      <c r="P23" s="40"/>
      <c r="Q23" s="40"/>
    </row>
    <row r="24" spans="1:18" ht="15" hidden="1" outlineLevel="1" thickTop="1" thickBot="1" x14ac:dyDescent="0.3">
      <c r="B24" s="412" t="s">
        <v>136</v>
      </c>
      <c r="C24" s="413">
        <f>SUM(C21:C23)</f>
        <v>4</v>
      </c>
      <c r="D24" s="414"/>
      <c r="E24" s="415">
        <f>SUM(E21:E23)</f>
        <v>9000</v>
      </c>
      <c r="F24" s="413">
        <f>AVERAGE(F21:F23)</f>
        <v>3</v>
      </c>
      <c r="G24" s="415">
        <f>SUM(G21:G23)</f>
        <v>3000</v>
      </c>
      <c r="H24" s="415">
        <f>SUM(H21:H23)</f>
        <v>3000</v>
      </c>
      <c r="I24" s="415">
        <f>SUM(I21:I23)</f>
        <v>3000</v>
      </c>
      <c r="J24" s="415">
        <f>SUM(J21:J23)</f>
        <v>0</v>
      </c>
      <c r="K24" s="415">
        <f>SUM(K21:K23)</f>
        <v>0</v>
      </c>
      <c r="O24" s="40"/>
      <c r="P24" s="40"/>
      <c r="Q24" s="40"/>
    </row>
    <row r="25" spans="1:18" ht="14.4" hidden="1" outlineLevel="1" thickTop="1" x14ac:dyDescent="0.25">
      <c r="B25" s="408" t="s">
        <v>268</v>
      </c>
      <c r="C25" s="409">
        <v>4</v>
      </c>
      <c r="D25" s="410">
        <v>5000</v>
      </c>
      <c r="E25" s="411">
        <f t="shared" ref="E25:E39" si="1">C25*D25</f>
        <v>20000</v>
      </c>
      <c r="F25" s="409">
        <v>5</v>
      </c>
      <c r="G25" s="411">
        <f t="shared" ref="G25:G39" si="2">IF(F25=0,0,E25/F25)</f>
        <v>4000</v>
      </c>
      <c r="H25" s="411">
        <f>IF($E25-SUM($G25:G25)&gt;=$G25,$G25,0)</f>
        <v>4000</v>
      </c>
      <c r="I25" s="411">
        <f>IF($E25-SUM($G25:H25)&gt;=$G25,$G25,0)</f>
        <v>4000</v>
      </c>
      <c r="J25" s="411">
        <f>IF($E25-SUM($G25:I25)&gt;=$G25,$G25,0)</f>
        <v>4000</v>
      </c>
      <c r="K25" s="411">
        <f>IF($E25-SUM($G25:J25)&gt;=$G25,$G25,0)</f>
        <v>4000</v>
      </c>
      <c r="O25" s="40"/>
      <c r="P25" s="40"/>
      <c r="Q25" s="40"/>
    </row>
    <row r="26" spans="1:18" hidden="1" outlineLevel="1" x14ac:dyDescent="0.25">
      <c r="B26" s="403" t="s">
        <v>269</v>
      </c>
      <c r="C26" s="404">
        <v>1</v>
      </c>
      <c r="D26" s="151">
        <v>200000</v>
      </c>
      <c r="E26" s="148">
        <f t="shared" si="1"/>
        <v>200000</v>
      </c>
      <c r="F26" s="404">
        <v>5</v>
      </c>
      <c r="G26" s="148">
        <f t="shared" si="2"/>
        <v>40000</v>
      </c>
      <c r="H26" s="148">
        <f>IF($E26-SUM($G26:G26)&gt;=$G26,$G26,0)</f>
        <v>40000</v>
      </c>
      <c r="I26" s="148">
        <f>IF($E26-SUM($G26:H26)&gt;=$G26,$G26,0)</f>
        <v>40000</v>
      </c>
      <c r="J26" s="148">
        <f>IF($E26-SUM($G26:I26)&gt;=$G26,$G26,0)</f>
        <v>40000</v>
      </c>
      <c r="K26" s="148">
        <f>IF($E26-SUM($G26:J26)&gt;=$G26,$G26,0)</f>
        <v>40000</v>
      </c>
      <c r="O26" s="40"/>
      <c r="P26" s="40"/>
      <c r="Q26" s="40"/>
    </row>
    <row r="27" spans="1:18" ht="14.4" hidden="1" outlineLevel="1" thickBot="1" x14ac:dyDescent="0.3">
      <c r="B27" s="416" t="s">
        <v>272</v>
      </c>
      <c r="C27" s="417">
        <v>4</v>
      </c>
      <c r="D27" s="418">
        <v>20000</v>
      </c>
      <c r="E27" s="419">
        <f t="shared" si="1"/>
        <v>80000</v>
      </c>
      <c r="F27" s="417">
        <v>5</v>
      </c>
      <c r="G27" s="419">
        <f t="shared" si="2"/>
        <v>16000</v>
      </c>
      <c r="H27" s="419">
        <f>IF($E27-SUM($G27:G27)&gt;=$G27,$G27,0)</f>
        <v>16000</v>
      </c>
      <c r="I27" s="419">
        <f>IF($E27-SUM($G27:H27)&gt;=$G27,$G27,0)</f>
        <v>16000</v>
      </c>
      <c r="J27" s="419">
        <f>IF($E27-SUM($G27:I27)&gt;=$G27,$G27,0)</f>
        <v>16000</v>
      </c>
      <c r="K27" s="419">
        <f>IF($E27-SUM($G27:J27)&gt;=$G27,$G27,0)</f>
        <v>16000</v>
      </c>
      <c r="O27" s="40"/>
      <c r="P27" s="40"/>
      <c r="Q27" s="40"/>
    </row>
    <row r="28" spans="1:18" ht="15" hidden="1" outlineLevel="1" thickTop="1" thickBot="1" x14ac:dyDescent="0.3">
      <c r="B28" s="412" t="s">
        <v>132</v>
      </c>
      <c r="C28" s="413">
        <f>SUM(C25:C27)</f>
        <v>9</v>
      </c>
      <c r="D28" s="414"/>
      <c r="E28" s="415">
        <f>SUM(E25:E27)</f>
        <v>300000</v>
      </c>
      <c r="F28" s="413">
        <f>AVERAGE(F25:F27)</f>
        <v>5</v>
      </c>
      <c r="G28" s="415">
        <f>SUM(G25:G27)</f>
        <v>60000</v>
      </c>
      <c r="H28" s="415">
        <f>SUM(H25:H27)</f>
        <v>60000</v>
      </c>
      <c r="I28" s="415">
        <f>SUM(I25:I27)</f>
        <v>60000</v>
      </c>
      <c r="J28" s="415">
        <f>SUM(J25:J27)</f>
        <v>60000</v>
      </c>
      <c r="K28" s="415">
        <f>SUM(K25:K27)</f>
        <v>60000</v>
      </c>
      <c r="O28" s="40"/>
      <c r="P28" s="40"/>
      <c r="Q28" s="40"/>
    </row>
    <row r="29" spans="1:18" ht="14.4" hidden="1" outlineLevel="1" thickTop="1" x14ac:dyDescent="0.25">
      <c r="B29" s="403" t="s">
        <v>270</v>
      </c>
      <c r="C29" s="404">
        <v>1</v>
      </c>
      <c r="D29" s="151">
        <v>33000</v>
      </c>
      <c r="E29" s="148">
        <f t="shared" si="1"/>
        <v>33000</v>
      </c>
      <c r="F29" s="404">
        <v>5</v>
      </c>
      <c r="G29" s="148">
        <f t="shared" si="2"/>
        <v>6600</v>
      </c>
      <c r="H29" s="148">
        <f>IF($E29-SUM($G29:G29)&gt;=$G29,$G29,0)</f>
        <v>6600</v>
      </c>
      <c r="I29" s="148">
        <f>IF($E29-SUM($G29:H29)&gt;=$G29,$G29,0)</f>
        <v>6600</v>
      </c>
      <c r="J29" s="148">
        <f>IF($E29-SUM($G29:I29)&gt;=$G29,$G29,0)</f>
        <v>6600</v>
      </c>
      <c r="K29" s="148">
        <f>IF($E29-SUM($G29:J29)&gt;=$G29,$G29,0)</f>
        <v>6600</v>
      </c>
      <c r="O29" s="40"/>
      <c r="P29" s="40"/>
      <c r="Q29" s="40"/>
    </row>
    <row r="30" spans="1:18" hidden="1" outlineLevel="1" x14ac:dyDescent="0.25">
      <c r="B30" s="403" t="s">
        <v>271</v>
      </c>
      <c r="C30" s="404">
        <v>1</v>
      </c>
      <c r="D30" s="151">
        <v>67000</v>
      </c>
      <c r="E30" s="148">
        <f t="shared" si="1"/>
        <v>67000</v>
      </c>
      <c r="F30" s="404">
        <v>5</v>
      </c>
      <c r="G30" s="148">
        <f t="shared" si="2"/>
        <v>13400</v>
      </c>
      <c r="H30" s="148">
        <f>IF($E30-SUM($G30:G30)&gt;=$G30,$G30,0)</f>
        <v>13400</v>
      </c>
      <c r="I30" s="148">
        <f>IF($E30-SUM($G30:H30)&gt;=$G30,$G30,0)</f>
        <v>13400</v>
      </c>
      <c r="J30" s="148">
        <f>IF($E30-SUM($G30:I30)&gt;=$G30,$G30,0)</f>
        <v>13400</v>
      </c>
      <c r="K30" s="148">
        <f>IF($E30-SUM($G30:J30)&gt;=$G30,$G30,0)</f>
        <v>13400</v>
      </c>
      <c r="O30" s="40"/>
      <c r="P30" s="40"/>
      <c r="Q30" s="40"/>
    </row>
    <row r="31" spans="1:18" ht="14.4" hidden="1" outlineLevel="1" thickBot="1" x14ac:dyDescent="0.3">
      <c r="B31" s="416"/>
      <c r="C31" s="417"/>
      <c r="D31" s="418"/>
      <c r="E31" s="419">
        <f t="shared" si="1"/>
        <v>0</v>
      </c>
      <c r="F31" s="417"/>
      <c r="G31" s="419">
        <f t="shared" si="2"/>
        <v>0</v>
      </c>
      <c r="H31" s="419">
        <f>IF($E31-SUM($G31:G31)&gt;=$G31,$G31,0)</f>
        <v>0</v>
      </c>
      <c r="I31" s="419">
        <f>IF($E31-SUM($G31:H31)&gt;=$G31,$G31,0)</f>
        <v>0</v>
      </c>
      <c r="J31" s="419">
        <f>IF($E31-SUM($G31:I31)&gt;=$G31,$G31,0)</f>
        <v>0</v>
      </c>
      <c r="K31" s="419">
        <f>IF($E31-SUM($G31:J31)&gt;=$G31,$G31,0)</f>
        <v>0</v>
      </c>
      <c r="O31" s="40"/>
      <c r="P31" s="40"/>
      <c r="Q31" s="40"/>
    </row>
    <row r="32" spans="1:18" ht="15" hidden="1" outlineLevel="1" thickTop="1" thickBot="1" x14ac:dyDescent="0.3">
      <c r="B32" s="412" t="s">
        <v>133</v>
      </c>
      <c r="C32" s="413">
        <f>SUM(C29:C31)</f>
        <v>2</v>
      </c>
      <c r="D32" s="414"/>
      <c r="E32" s="415">
        <f>SUM(E29:E31)</f>
        <v>100000</v>
      </c>
      <c r="F32" s="413">
        <f>AVERAGE(F29:F31)</f>
        <v>5</v>
      </c>
      <c r="G32" s="415">
        <f>SUM(G29:G31)</f>
        <v>20000</v>
      </c>
      <c r="H32" s="415">
        <f>SUM(H29:H31)</f>
        <v>20000</v>
      </c>
      <c r="I32" s="415">
        <f>SUM(I29:I31)</f>
        <v>20000</v>
      </c>
      <c r="J32" s="415">
        <f>SUM(J29:J31)</f>
        <v>20000</v>
      </c>
      <c r="K32" s="415">
        <f>SUM(K29:K31)</f>
        <v>20000</v>
      </c>
      <c r="O32" s="40"/>
      <c r="P32" s="40"/>
      <c r="Q32" s="40"/>
    </row>
    <row r="33" spans="1:17" ht="14.4" hidden="1" outlineLevel="1" thickTop="1" x14ac:dyDescent="0.25">
      <c r="B33" s="403" t="s">
        <v>273</v>
      </c>
      <c r="C33" s="404">
        <v>1</v>
      </c>
      <c r="D33" s="151">
        <v>2000</v>
      </c>
      <c r="E33" s="148">
        <f t="shared" si="1"/>
        <v>2000</v>
      </c>
      <c r="F33" s="404">
        <v>5</v>
      </c>
      <c r="G33" s="148">
        <f t="shared" si="2"/>
        <v>400</v>
      </c>
      <c r="H33" s="148">
        <f>IF($E33-SUM($G33:G33)&gt;=$G33,$G33,0)</f>
        <v>400</v>
      </c>
      <c r="I33" s="148">
        <f>IF($E33-SUM($G33:H33)&gt;=$G33,$G33,0)</f>
        <v>400</v>
      </c>
      <c r="J33" s="148">
        <f>IF($E33-SUM($G33:I33)&gt;=$G33,$G33,0)</f>
        <v>400</v>
      </c>
      <c r="K33" s="148">
        <f>IF($E33-SUM($G33:J33)&gt;=$G33,$G33,0)</f>
        <v>400</v>
      </c>
      <c r="O33" s="40"/>
      <c r="P33" s="40"/>
      <c r="Q33" s="40"/>
    </row>
    <row r="34" spans="1:17" hidden="1" outlineLevel="1" x14ac:dyDescent="0.25">
      <c r="B34" s="403" t="s">
        <v>274</v>
      </c>
      <c r="C34" s="404">
        <v>1</v>
      </c>
      <c r="D34" s="151">
        <v>2000</v>
      </c>
      <c r="E34" s="148">
        <f t="shared" si="1"/>
        <v>2000</v>
      </c>
      <c r="F34" s="404">
        <v>5</v>
      </c>
      <c r="G34" s="148">
        <f t="shared" si="2"/>
        <v>400</v>
      </c>
      <c r="H34" s="148">
        <f>IF($E34-SUM($G34:G34)&gt;=$G34,$G34,0)</f>
        <v>400</v>
      </c>
      <c r="I34" s="148">
        <f>IF($E34-SUM($G34:H34)&gt;=$G34,$G34,0)</f>
        <v>400</v>
      </c>
      <c r="J34" s="148">
        <f>IF($E34-SUM($G34:I34)&gt;=$G34,$G34,0)</f>
        <v>400</v>
      </c>
      <c r="K34" s="148">
        <f>IF($E34-SUM($G34:J34)&gt;=$G34,$G34,0)</f>
        <v>400</v>
      </c>
      <c r="O34" s="40"/>
      <c r="P34" s="40"/>
      <c r="Q34" s="40"/>
    </row>
    <row r="35" spans="1:17" ht="14.4" hidden="1" outlineLevel="1" thickBot="1" x14ac:dyDescent="0.3">
      <c r="B35" s="416"/>
      <c r="C35" s="417"/>
      <c r="D35" s="418"/>
      <c r="E35" s="419">
        <f t="shared" si="1"/>
        <v>0</v>
      </c>
      <c r="F35" s="417"/>
      <c r="G35" s="419">
        <f t="shared" si="2"/>
        <v>0</v>
      </c>
      <c r="H35" s="419">
        <f>IF($E35-SUM($G35:G35)&gt;=$G35,$G35,0)</f>
        <v>0</v>
      </c>
      <c r="I35" s="419">
        <f>IF($E35-SUM($G35:H35)&gt;=$G35,$G35,0)</f>
        <v>0</v>
      </c>
      <c r="J35" s="419">
        <f>IF($E35-SUM($G35:I35)&gt;=$G35,$G35,0)</f>
        <v>0</v>
      </c>
      <c r="K35" s="419">
        <f>IF($E35-SUM($G35:J35)&gt;=$G35,$G35,0)</f>
        <v>0</v>
      </c>
      <c r="O35" s="40"/>
      <c r="P35" s="40"/>
      <c r="Q35" s="40"/>
    </row>
    <row r="36" spans="1:17" ht="15" hidden="1" outlineLevel="1" thickTop="1" thickBot="1" x14ac:dyDescent="0.3">
      <c r="B36" s="412" t="s">
        <v>134</v>
      </c>
      <c r="C36" s="413">
        <f>SUM(C33:C35)</f>
        <v>2</v>
      </c>
      <c r="D36" s="414"/>
      <c r="E36" s="415">
        <f>SUM(E33:E35)</f>
        <v>4000</v>
      </c>
      <c r="F36" s="413">
        <f>AVERAGE(F33:F35)</f>
        <v>5</v>
      </c>
      <c r="G36" s="415">
        <f>SUM(G33:G35)</f>
        <v>800</v>
      </c>
      <c r="H36" s="415">
        <f>SUM(H33:H35)</f>
        <v>800</v>
      </c>
      <c r="I36" s="415">
        <f>SUM(I33:I35)</f>
        <v>800</v>
      </c>
      <c r="J36" s="415">
        <f>SUM(J33:J35)</f>
        <v>800</v>
      </c>
      <c r="K36" s="415">
        <f>SUM(K33:K35)</f>
        <v>800</v>
      </c>
      <c r="O36" s="40"/>
      <c r="P36" s="40"/>
      <c r="Q36" s="40"/>
    </row>
    <row r="37" spans="1:17" ht="14.4" hidden="1" outlineLevel="1" thickTop="1" x14ac:dyDescent="0.25">
      <c r="B37" s="403" t="s">
        <v>128</v>
      </c>
      <c r="C37" s="404">
        <v>1</v>
      </c>
      <c r="D37" s="151">
        <v>2000</v>
      </c>
      <c r="E37" s="148">
        <f t="shared" si="1"/>
        <v>2000</v>
      </c>
      <c r="F37" s="404">
        <v>5</v>
      </c>
      <c r="G37" s="148">
        <f t="shared" si="2"/>
        <v>400</v>
      </c>
      <c r="H37" s="148">
        <f>IF($E37-SUM($G37:G37)&gt;=$G37,$G37,0)</f>
        <v>400</v>
      </c>
      <c r="I37" s="148">
        <f>IF($E37-SUM($G37:H37)&gt;=$G37,$G37,0)</f>
        <v>400</v>
      </c>
      <c r="J37" s="148">
        <f>IF($E37-SUM($G37:I37)&gt;=$G37,$G37,0)</f>
        <v>400</v>
      </c>
      <c r="K37" s="148">
        <f>IF($E37-SUM($G37:J37)&gt;=$G37,$G37,0)</f>
        <v>400</v>
      </c>
      <c r="O37" s="40"/>
      <c r="P37" s="40"/>
      <c r="Q37" s="40"/>
    </row>
    <row r="38" spans="1:17" hidden="1" outlineLevel="1" x14ac:dyDescent="0.25">
      <c r="B38" s="403" t="s">
        <v>275</v>
      </c>
      <c r="C38" s="404">
        <v>2</v>
      </c>
      <c r="D38" s="151">
        <v>14000</v>
      </c>
      <c r="E38" s="148">
        <f t="shared" si="1"/>
        <v>28000</v>
      </c>
      <c r="F38" s="404">
        <v>5</v>
      </c>
      <c r="G38" s="148">
        <f t="shared" si="2"/>
        <v>5600</v>
      </c>
      <c r="H38" s="148">
        <f>IF($E38-SUM($G38:G38)&gt;=$G38,$G38,0)</f>
        <v>5600</v>
      </c>
      <c r="I38" s="148">
        <f>IF($E38-SUM($G38:H38)&gt;=$G38,$G38,0)</f>
        <v>5600</v>
      </c>
      <c r="J38" s="148">
        <f>IF($E38-SUM($G38:I38)&gt;=$G38,$G38,0)</f>
        <v>5600</v>
      </c>
      <c r="K38" s="148">
        <f>IF($E38-SUM($G38:J38)&gt;=$G38,$G38,0)</f>
        <v>5600</v>
      </c>
      <c r="O38" s="40"/>
      <c r="P38" s="40"/>
      <c r="Q38" s="40"/>
    </row>
    <row r="39" spans="1:17" ht="14.4" hidden="1" outlineLevel="1" thickBot="1" x14ac:dyDescent="0.3">
      <c r="B39" s="416"/>
      <c r="C39" s="417"/>
      <c r="D39" s="418"/>
      <c r="E39" s="419">
        <f t="shared" si="1"/>
        <v>0</v>
      </c>
      <c r="F39" s="417">
        <v>5</v>
      </c>
      <c r="G39" s="419">
        <f t="shared" si="2"/>
        <v>0</v>
      </c>
      <c r="H39" s="419">
        <f>IF($E39-SUM($G39:G39)&gt;=$G39,$G39,0)</f>
        <v>0</v>
      </c>
      <c r="I39" s="419">
        <f>IF($E39-SUM($G39:H39)&gt;=$G39,$G39,0)</f>
        <v>0</v>
      </c>
      <c r="J39" s="419">
        <f>IF($E39-SUM($G39:I39)&gt;=$G39,$G39,0)</f>
        <v>0</v>
      </c>
      <c r="K39" s="419">
        <f>IF($E39-SUM($G39:J39)&gt;=$G39,$G39,0)</f>
        <v>0</v>
      </c>
      <c r="O39" s="40"/>
      <c r="P39" s="40"/>
      <c r="Q39" s="40"/>
    </row>
    <row r="40" spans="1:17" ht="15" hidden="1" outlineLevel="1" thickTop="1" thickBot="1" x14ac:dyDescent="0.3">
      <c r="B40" s="412" t="s">
        <v>276</v>
      </c>
      <c r="C40" s="413">
        <f>SUM(C37:C39)</f>
        <v>3</v>
      </c>
      <c r="D40" s="414"/>
      <c r="E40" s="415">
        <f>SUM(E37:E39)</f>
        <v>30000</v>
      </c>
      <c r="F40" s="413">
        <f>AVERAGE(F37:F39)</f>
        <v>5</v>
      </c>
      <c r="G40" s="415">
        <f>SUM(G37:G39)</f>
        <v>6000</v>
      </c>
      <c r="H40" s="415">
        <f>SUM(H37:H39)</f>
        <v>6000</v>
      </c>
      <c r="I40" s="415">
        <f>SUM(I37:I39)</f>
        <v>6000</v>
      </c>
      <c r="J40" s="415">
        <f>SUM(J37:J39)</f>
        <v>6000</v>
      </c>
      <c r="K40" s="415">
        <f>SUM(K37:K39)</f>
        <v>6000</v>
      </c>
      <c r="O40" s="40"/>
      <c r="P40" s="40"/>
      <c r="Q40" s="40"/>
    </row>
    <row r="41" spans="1:17" ht="15" hidden="1" outlineLevel="1" thickTop="1" thickBot="1" x14ac:dyDescent="0.3">
      <c r="B41" s="6" t="s">
        <v>7</v>
      </c>
      <c r="C41" s="25"/>
      <c r="D41" s="8"/>
      <c r="E41" s="9">
        <f>E40+E36+E32+E28+E24</f>
        <v>443000</v>
      </c>
      <c r="F41" s="7"/>
      <c r="G41" s="9">
        <f>G40+G36+G32+G28+G24</f>
        <v>89800</v>
      </c>
      <c r="H41" s="9">
        <f>H40+H36+H32+H28+H24</f>
        <v>89800</v>
      </c>
      <c r="I41" s="9">
        <f>I40+I36+I32+I28+I24</f>
        <v>89800</v>
      </c>
      <c r="J41" s="9">
        <f>J40+J36+J32+J28+J24</f>
        <v>86800</v>
      </c>
      <c r="K41" s="9">
        <f>K40+K36+K32+K28+K24</f>
        <v>86800</v>
      </c>
      <c r="O41" s="40"/>
      <c r="P41" s="40"/>
      <c r="Q41" s="40"/>
    </row>
    <row r="42" spans="1:17" hidden="1" outlineLevel="1" x14ac:dyDescent="0.25">
      <c r="O42" s="40"/>
      <c r="P42" s="40"/>
      <c r="Q42" s="40"/>
    </row>
    <row r="43" spans="1:17" hidden="1" outlineLevel="1" x14ac:dyDescent="0.25">
      <c r="B43" s="3"/>
      <c r="C43" s="3"/>
      <c r="D43" s="3"/>
      <c r="E43" s="3"/>
      <c r="F43" s="3"/>
      <c r="G43" s="3"/>
      <c r="H43" s="3"/>
    </row>
    <row r="44" spans="1:17" ht="15" collapsed="1" thickBot="1" x14ac:dyDescent="0.3">
      <c r="A44" s="152"/>
      <c r="B44" s="153"/>
      <c r="C44" s="153"/>
      <c r="D44" s="153"/>
      <c r="E44" s="153"/>
      <c r="F44" s="154">
        <f>SUM(F19:F43)</f>
        <v>82</v>
      </c>
      <c r="G44" s="153"/>
      <c r="H44" s="153"/>
      <c r="I44" s="153"/>
      <c r="J44" s="153"/>
      <c r="K44" s="153"/>
    </row>
    <row r="45" spans="1:17" ht="14.4" thickTop="1" x14ac:dyDescent="0.25"/>
    <row r="46" spans="1:17" ht="18" x14ac:dyDescent="0.25">
      <c r="A46" s="145">
        <v>2</v>
      </c>
      <c r="B46" s="146" t="s">
        <v>124</v>
      </c>
      <c r="C46" s="147"/>
      <c r="D46" s="147"/>
      <c r="E46" s="147"/>
      <c r="F46" s="147"/>
      <c r="G46" s="147"/>
      <c r="H46" s="147"/>
      <c r="I46" s="147"/>
      <c r="J46" s="147"/>
      <c r="K46" s="147"/>
    </row>
    <row r="47" spans="1:17" ht="15" hidden="1" customHeight="1" outlineLevel="1" x14ac:dyDescent="0.25">
      <c r="B47" s="478" t="s">
        <v>281</v>
      </c>
      <c r="C47" s="478"/>
      <c r="D47" s="478"/>
      <c r="E47" s="478"/>
      <c r="F47" s="478"/>
      <c r="G47" s="478"/>
      <c r="H47" s="478"/>
      <c r="I47" s="478"/>
      <c r="K47" s="3"/>
    </row>
    <row r="48" spans="1:17" hidden="1" outlineLevel="1" x14ac:dyDescent="0.25">
      <c r="B48" s="478"/>
      <c r="C48" s="478"/>
      <c r="D48" s="478"/>
      <c r="E48" s="478"/>
      <c r="F48" s="478"/>
      <c r="G48" s="478"/>
      <c r="H48" s="478"/>
      <c r="I48" s="478"/>
      <c r="K48" s="3"/>
    </row>
    <row r="49" spans="2:23" hidden="1" outlineLevel="1" x14ac:dyDescent="0.25">
      <c r="B49" s="478"/>
      <c r="C49" s="478"/>
      <c r="D49" s="478"/>
      <c r="E49" s="478"/>
      <c r="F49" s="478"/>
      <c r="G49" s="478"/>
      <c r="H49" s="478"/>
      <c r="I49" s="478"/>
      <c r="K49" s="3"/>
    </row>
    <row r="50" spans="2:23" hidden="1" outlineLevel="1" x14ac:dyDescent="0.25">
      <c r="B50" s="478"/>
      <c r="C50" s="478"/>
      <c r="D50" s="478"/>
      <c r="E50" s="478"/>
      <c r="F50" s="478"/>
      <c r="G50" s="478"/>
      <c r="H50" s="478"/>
      <c r="I50" s="478"/>
      <c r="K50" s="3"/>
    </row>
    <row r="51" spans="2:23" hidden="1" outlineLevel="1" x14ac:dyDescent="0.25">
      <c r="B51" s="478"/>
      <c r="C51" s="478"/>
      <c r="D51" s="478"/>
      <c r="E51" s="478"/>
      <c r="F51" s="478"/>
      <c r="G51" s="478"/>
      <c r="H51" s="478"/>
      <c r="I51" s="478"/>
      <c r="K51" s="3"/>
    </row>
    <row r="52" spans="2:23" hidden="1" outlineLevel="1" x14ac:dyDescent="0.25">
      <c r="B52" s="478"/>
      <c r="C52" s="478"/>
      <c r="D52" s="478"/>
      <c r="E52" s="478"/>
      <c r="F52" s="478"/>
      <c r="G52" s="478"/>
      <c r="H52" s="478"/>
      <c r="I52" s="478"/>
      <c r="K52" s="3"/>
    </row>
    <row r="53" spans="2:23" hidden="1" outlineLevel="1" x14ac:dyDescent="0.25">
      <c r="B53" s="478"/>
      <c r="C53" s="478"/>
      <c r="D53" s="478"/>
      <c r="E53" s="478"/>
      <c r="F53" s="478"/>
      <c r="G53" s="478"/>
      <c r="H53" s="478"/>
      <c r="I53" s="478"/>
      <c r="K53" s="3"/>
    </row>
    <row r="54" spans="2:23" hidden="1" outlineLevel="1" x14ac:dyDescent="0.25">
      <c r="B54" s="478"/>
      <c r="C54" s="478"/>
      <c r="D54" s="478"/>
      <c r="E54" s="478"/>
      <c r="F54" s="478"/>
      <c r="G54" s="478"/>
      <c r="H54" s="478"/>
      <c r="I54" s="478"/>
      <c r="K54" s="3"/>
    </row>
    <row r="55" spans="2:23" hidden="1" outlineLevel="1" x14ac:dyDescent="0.25">
      <c r="B55" s="478"/>
      <c r="C55" s="478"/>
      <c r="D55" s="478"/>
      <c r="E55" s="478"/>
      <c r="F55" s="478"/>
      <c r="G55" s="478"/>
      <c r="H55" s="478"/>
      <c r="I55" s="478"/>
      <c r="K55" s="3"/>
    </row>
    <row r="56" spans="2:23" hidden="1" outlineLevel="1" x14ac:dyDescent="0.25">
      <c r="B56" s="478"/>
      <c r="C56" s="478"/>
      <c r="D56" s="478"/>
      <c r="E56" s="478"/>
      <c r="F56" s="478"/>
      <c r="G56" s="478"/>
      <c r="H56" s="478"/>
      <c r="I56" s="478"/>
      <c r="K56" s="3"/>
    </row>
    <row r="57" spans="2:23" hidden="1" outlineLevel="1" x14ac:dyDescent="0.25"/>
    <row r="58" spans="2:23" ht="15.75" hidden="1" customHeight="1" outlineLevel="1" x14ac:dyDescent="0.25">
      <c r="B58" s="500" t="s">
        <v>167</v>
      </c>
      <c r="C58" s="501"/>
      <c r="D58" s="502"/>
      <c r="E58" s="500" t="s">
        <v>279</v>
      </c>
      <c r="F58" s="501"/>
      <c r="G58" s="501"/>
      <c r="H58" s="501"/>
      <c r="I58" s="502"/>
    </row>
    <row r="59" spans="2:23" ht="34.799999999999997" hidden="1" outlineLevel="1" x14ac:dyDescent="0.25">
      <c r="B59" s="429" t="s">
        <v>289</v>
      </c>
      <c r="C59" s="429" t="s">
        <v>290</v>
      </c>
      <c r="D59" s="429" t="s">
        <v>291</v>
      </c>
      <c r="E59" s="157">
        <f>C1</f>
        <v>2024</v>
      </c>
      <c r="F59" s="157">
        <f>E59+1</f>
        <v>2025</v>
      </c>
      <c r="G59" s="157">
        <f>F59+1</f>
        <v>2026</v>
      </c>
      <c r="H59" s="157">
        <f>G59+1</f>
        <v>2027</v>
      </c>
      <c r="I59" s="157">
        <f>H59+1</f>
        <v>2028</v>
      </c>
      <c r="L59" s="61" t="s">
        <v>20</v>
      </c>
      <c r="M59" s="61" t="s">
        <v>18</v>
      </c>
      <c r="N59" s="61" t="s">
        <v>19</v>
      </c>
      <c r="P59" s="61"/>
    </row>
    <row r="60" spans="2:23" ht="16.5" hidden="1" customHeight="1" outlineLevel="1" x14ac:dyDescent="0.25">
      <c r="B60" s="155" t="s">
        <v>251</v>
      </c>
      <c r="C60" s="156">
        <v>1900</v>
      </c>
      <c r="D60" s="428">
        <v>722</v>
      </c>
      <c r="E60" s="422">
        <v>200</v>
      </c>
      <c r="F60" s="422">
        <v>336.05</v>
      </c>
      <c r="G60" s="422">
        <v>413.6</v>
      </c>
      <c r="H60" s="422">
        <v>465.3</v>
      </c>
      <c r="I60" s="422">
        <v>517</v>
      </c>
      <c r="L60" s="43">
        <f t="shared" ref="L60:L69" si="3">C60/$C$70</f>
        <v>0.33628318584070799</v>
      </c>
      <c r="M60" s="44">
        <f t="shared" ref="M60:M69" si="4">I60-D60</f>
        <v>-205</v>
      </c>
      <c r="N60" s="42">
        <f>L60*M60</f>
        <v>-68.938053097345133</v>
      </c>
      <c r="P60" s="46">
        <f t="shared" ref="P60:P69" si="5">I60*O60</f>
        <v>0</v>
      </c>
      <c r="Q60" s="16"/>
      <c r="R60" s="13"/>
      <c r="S60" s="13"/>
      <c r="U60" s="13"/>
      <c r="V60" s="13"/>
      <c r="W60" s="13"/>
    </row>
    <row r="61" spans="2:23" ht="15.6" hidden="1" outlineLevel="1" x14ac:dyDescent="0.25">
      <c r="B61" s="155" t="s">
        <v>252</v>
      </c>
      <c r="C61" s="156">
        <v>1200</v>
      </c>
      <c r="D61" s="428">
        <v>396</v>
      </c>
      <c r="E61" s="422">
        <v>300</v>
      </c>
      <c r="F61" s="422">
        <v>796.25</v>
      </c>
      <c r="G61" s="422">
        <v>980</v>
      </c>
      <c r="H61" s="422">
        <v>1102.5</v>
      </c>
      <c r="I61" s="422">
        <v>1225</v>
      </c>
      <c r="L61" s="43">
        <f t="shared" si="3"/>
        <v>0.21238938053097345</v>
      </c>
      <c r="M61" s="44">
        <f t="shared" si="4"/>
        <v>829</v>
      </c>
      <c r="N61" s="45">
        <f t="shared" ref="N61:N69" si="6">L61*M61</f>
        <v>176.07079646017698</v>
      </c>
      <c r="P61" s="46">
        <f t="shared" si="5"/>
        <v>0</v>
      </c>
      <c r="Q61" s="16"/>
      <c r="R61" s="13"/>
      <c r="S61" s="13"/>
      <c r="U61" s="13"/>
      <c r="V61" s="13"/>
      <c r="W61" s="13"/>
    </row>
    <row r="62" spans="2:23" ht="15.6" hidden="1" outlineLevel="1" x14ac:dyDescent="0.25">
      <c r="B62" s="155" t="s">
        <v>253</v>
      </c>
      <c r="C62" s="156">
        <v>750</v>
      </c>
      <c r="D62" s="428">
        <v>450</v>
      </c>
      <c r="E62" s="422">
        <v>600</v>
      </c>
      <c r="F62" s="422">
        <v>1062.1000000000001</v>
      </c>
      <c r="G62" s="422">
        <v>1307.2</v>
      </c>
      <c r="H62" s="422">
        <v>1470.6000000000001</v>
      </c>
      <c r="I62" s="422">
        <v>1634</v>
      </c>
      <c r="L62" s="43">
        <f t="shared" si="3"/>
        <v>0.13274336283185842</v>
      </c>
      <c r="M62" s="44">
        <f t="shared" si="4"/>
        <v>1184</v>
      </c>
      <c r="N62" s="45">
        <f t="shared" si="6"/>
        <v>157.16814159292036</v>
      </c>
      <c r="P62" s="46">
        <f t="shared" si="5"/>
        <v>0</v>
      </c>
      <c r="Q62" s="16"/>
      <c r="R62" s="13"/>
      <c r="S62" s="13"/>
      <c r="U62" s="13"/>
      <c r="V62" s="13"/>
      <c r="W62" s="13"/>
    </row>
    <row r="63" spans="2:23" ht="15.6" hidden="1" outlineLevel="1" x14ac:dyDescent="0.25">
      <c r="B63" s="155" t="s">
        <v>254</v>
      </c>
      <c r="C63" s="156">
        <v>540</v>
      </c>
      <c r="D63" s="428">
        <v>243</v>
      </c>
      <c r="E63" s="422">
        <v>1000</v>
      </c>
      <c r="F63" s="422">
        <v>1946.75</v>
      </c>
      <c r="G63" s="422">
        <v>2396</v>
      </c>
      <c r="H63" s="422">
        <v>2695.5</v>
      </c>
      <c r="I63" s="422">
        <v>2995</v>
      </c>
      <c r="L63" s="43">
        <f t="shared" si="3"/>
        <v>9.5575221238938052E-2</v>
      </c>
      <c r="M63" s="44">
        <f t="shared" si="4"/>
        <v>2752</v>
      </c>
      <c r="N63" s="45">
        <f t="shared" si="6"/>
        <v>263.02300884955753</v>
      </c>
      <c r="P63" s="46">
        <f t="shared" si="5"/>
        <v>0</v>
      </c>
      <c r="Q63" s="16"/>
      <c r="R63" s="13"/>
      <c r="S63" s="13"/>
      <c r="U63" s="13"/>
      <c r="V63" s="13"/>
      <c r="W63" s="13"/>
    </row>
    <row r="64" spans="2:23" ht="15.6" hidden="1" outlineLevel="1" x14ac:dyDescent="0.25">
      <c r="B64" s="155" t="s">
        <v>255</v>
      </c>
      <c r="C64" s="156">
        <v>540</v>
      </c>
      <c r="D64" s="428">
        <v>162</v>
      </c>
      <c r="E64" s="422">
        <v>2246.2000000000003</v>
      </c>
      <c r="F64" s="422">
        <v>2654.6</v>
      </c>
      <c r="G64" s="422">
        <v>3267.2000000000003</v>
      </c>
      <c r="H64" s="422">
        <v>3675.6</v>
      </c>
      <c r="I64" s="422">
        <v>4084</v>
      </c>
      <c r="L64" s="43">
        <f t="shared" si="3"/>
        <v>9.5575221238938052E-2</v>
      </c>
      <c r="M64" s="44">
        <f t="shared" si="4"/>
        <v>3922</v>
      </c>
      <c r="N64" s="45">
        <f t="shared" si="6"/>
        <v>374.84601769911507</v>
      </c>
      <c r="P64" s="46">
        <f t="shared" si="5"/>
        <v>0</v>
      </c>
      <c r="Q64" s="16"/>
      <c r="R64" s="13"/>
      <c r="S64" s="13"/>
      <c r="U64" s="13"/>
      <c r="V64" s="13"/>
      <c r="W64" s="13"/>
    </row>
    <row r="65" spans="1:25" ht="15.6" hidden="1" outlineLevel="1" x14ac:dyDescent="0.25">
      <c r="B65" s="155" t="s">
        <v>256</v>
      </c>
      <c r="C65" s="156">
        <v>360</v>
      </c>
      <c r="D65" s="428">
        <v>180</v>
      </c>
      <c r="E65" s="422">
        <v>3369.3</v>
      </c>
      <c r="F65" s="422">
        <v>3981.9</v>
      </c>
      <c r="G65" s="422">
        <v>4900.8</v>
      </c>
      <c r="H65" s="422">
        <v>5513.4000000000005</v>
      </c>
      <c r="I65" s="422">
        <v>6126</v>
      </c>
      <c r="L65" s="43">
        <f t="shared" si="3"/>
        <v>6.3716814159292035E-2</v>
      </c>
      <c r="M65" s="44">
        <f t="shared" si="4"/>
        <v>5946</v>
      </c>
      <c r="N65" s="45">
        <f t="shared" si="6"/>
        <v>378.86017699115041</v>
      </c>
      <c r="P65" s="46">
        <f t="shared" si="5"/>
        <v>0</v>
      </c>
      <c r="Q65" s="16"/>
      <c r="R65" s="13"/>
      <c r="S65" s="13"/>
      <c r="U65" s="13"/>
      <c r="V65" s="13"/>
      <c r="W65" s="13"/>
    </row>
    <row r="66" spans="1:25" ht="15.6" hidden="1" outlineLevel="1" x14ac:dyDescent="0.25">
      <c r="B66" s="155" t="s">
        <v>257</v>
      </c>
      <c r="C66" s="156">
        <v>360</v>
      </c>
      <c r="D66" s="428">
        <v>180</v>
      </c>
      <c r="E66" s="422">
        <v>449.35</v>
      </c>
      <c r="F66" s="422">
        <v>531.05000000000007</v>
      </c>
      <c r="G66" s="422">
        <v>653.6</v>
      </c>
      <c r="H66" s="422">
        <v>735.30000000000007</v>
      </c>
      <c r="I66" s="422">
        <v>817</v>
      </c>
      <c r="L66" s="43">
        <f t="shared" si="3"/>
        <v>6.3716814159292035E-2</v>
      </c>
      <c r="M66" s="44">
        <f t="shared" si="4"/>
        <v>637</v>
      </c>
      <c r="N66" s="45">
        <f t="shared" si="6"/>
        <v>40.587610619469025</v>
      </c>
      <c r="P66" s="46">
        <f t="shared" si="5"/>
        <v>0</v>
      </c>
      <c r="Q66" s="16"/>
      <c r="R66" s="13"/>
      <c r="S66" s="13"/>
      <c r="U66" s="13"/>
      <c r="V66" s="13"/>
      <c r="W66" s="13"/>
    </row>
    <row r="67" spans="1:25" ht="15.6" hidden="1" outlineLevel="1" x14ac:dyDescent="0.25">
      <c r="B67" s="155"/>
      <c r="C67" s="156"/>
      <c r="D67" s="428">
        <v>0</v>
      </c>
      <c r="E67" s="422"/>
      <c r="F67" s="422"/>
      <c r="G67" s="422"/>
      <c r="H67" s="422"/>
      <c r="I67" s="422"/>
      <c r="L67" s="43">
        <f t="shared" si="3"/>
        <v>0</v>
      </c>
      <c r="M67" s="44">
        <f t="shared" si="4"/>
        <v>0</v>
      </c>
      <c r="N67" s="45">
        <f t="shared" si="6"/>
        <v>0</v>
      </c>
      <c r="P67" s="46">
        <f t="shared" si="5"/>
        <v>0</v>
      </c>
      <c r="Q67" s="16"/>
      <c r="R67" s="13"/>
      <c r="S67" s="13"/>
      <c r="U67" s="13"/>
      <c r="V67" s="13"/>
      <c r="W67" s="13"/>
    </row>
    <row r="68" spans="1:25" ht="15.6" hidden="1" outlineLevel="1" x14ac:dyDescent="0.25">
      <c r="B68" s="155"/>
      <c r="C68" s="156"/>
      <c r="D68" s="428">
        <v>0</v>
      </c>
      <c r="E68" s="422">
        <v>0</v>
      </c>
      <c r="F68" s="422">
        <v>0</v>
      </c>
      <c r="G68" s="422">
        <v>0</v>
      </c>
      <c r="H68" s="422">
        <v>0</v>
      </c>
      <c r="I68" s="422">
        <v>0</v>
      </c>
      <c r="L68" s="43">
        <f t="shared" si="3"/>
        <v>0</v>
      </c>
      <c r="M68" s="44">
        <f t="shared" si="4"/>
        <v>0</v>
      </c>
      <c r="N68" s="45">
        <f t="shared" si="6"/>
        <v>0</v>
      </c>
      <c r="P68" s="46">
        <f t="shared" si="5"/>
        <v>0</v>
      </c>
      <c r="Q68" s="16"/>
      <c r="R68" s="13"/>
      <c r="S68" s="13"/>
      <c r="U68" s="13"/>
      <c r="V68" s="13"/>
      <c r="W68" s="13"/>
    </row>
    <row r="69" spans="1:25" ht="15.6" hidden="1" outlineLevel="1" x14ac:dyDescent="0.25">
      <c r="B69" s="155"/>
      <c r="C69" s="156"/>
      <c r="D69" s="428">
        <v>0</v>
      </c>
      <c r="E69" s="422">
        <v>0</v>
      </c>
      <c r="F69" s="422">
        <v>0</v>
      </c>
      <c r="G69" s="422">
        <v>0</v>
      </c>
      <c r="H69" s="422">
        <v>0</v>
      </c>
      <c r="I69" s="422">
        <v>0</v>
      </c>
      <c r="L69" s="43">
        <f t="shared" si="3"/>
        <v>0</v>
      </c>
      <c r="M69" s="44">
        <f t="shared" si="4"/>
        <v>0</v>
      </c>
      <c r="N69" s="45">
        <f t="shared" si="6"/>
        <v>0</v>
      </c>
      <c r="P69" s="46">
        <f t="shared" si="5"/>
        <v>0</v>
      </c>
      <c r="Q69" s="16"/>
      <c r="R69" s="13"/>
      <c r="S69" s="13"/>
      <c r="U69" s="13"/>
      <c r="V69" s="13"/>
      <c r="W69" s="13"/>
    </row>
    <row r="70" spans="1:25" ht="16.2" hidden="1" outlineLevel="1" thickBot="1" x14ac:dyDescent="0.4">
      <c r="A70" s="10"/>
      <c r="B70" s="28"/>
      <c r="C70" s="28">
        <f>SUM(C60:C69)</f>
        <v>5650</v>
      </c>
      <c r="D70" s="425">
        <f>SUM(D60:D69)</f>
        <v>2333</v>
      </c>
      <c r="E70" s="28"/>
      <c r="F70" s="28"/>
      <c r="G70" s="28"/>
      <c r="H70" s="28"/>
      <c r="I70" s="28"/>
      <c r="L70" s="49">
        <f>SUM(L60:L69)</f>
        <v>1</v>
      </c>
      <c r="M70" s="44">
        <f>K70-D70</f>
        <v>-2333</v>
      </c>
      <c r="N70" s="50">
        <f>SUM(N60:N69)</f>
        <v>1321.6176991150442</v>
      </c>
      <c r="P70" s="46">
        <f>K70*O70</f>
        <v>0</v>
      </c>
      <c r="Q70" s="18"/>
      <c r="T70" s="18"/>
      <c r="U70" s="18"/>
      <c r="V70" s="18"/>
      <c r="W70" s="18"/>
      <c r="X70" s="18"/>
      <c r="Y70" s="18"/>
    </row>
    <row r="71" spans="1:25" ht="15" collapsed="1" thickBot="1" x14ac:dyDescent="0.3">
      <c r="A71" s="152"/>
      <c r="B71" s="153"/>
      <c r="C71" s="153"/>
      <c r="D71" s="153"/>
      <c r="E71" s="158"/>
      <c r="F71" s="158"/>
      <c r="G71" s="153"/>
      <c r="H71" s="153"/>
      <c r="I71" s="153"/>
      <c r="J71" s="153"/>
      <c r="K71" s="153"/>
      <c r="L71" s="47"/>
      <c r="M71" s="47"/>
      <c r="N71" s="42"/>
      <c r="P71" s="47"/>
      <c r="Q71" s="14"/>
      <c r="R71" s="14"/>
      <c r="S71" s="14"/>
      <c r="T71" s="14"/>
      <c r="U71" s="14"/>
      <c r="V71" s="14"/>
      <c r="W71" s="14"/>
      <c r="X71" s="14"/>
      <c r="Y71" s="14"/>
    </row>
    <row r="72" spans="1:25" ht="14.4" thickTop="1" x14ac:dyDescent="0.25">
      <c r="L72" s="17"/>
      <c r="N72" s="17"/>
    </row>
    <row r="73" spans="1:25" ht="18" x14ac:dyDescent="0.25">
      <c r="A73" s="145">
        <v>3</v>
      </c>
      <c r="B73" s="146" t="s">
        <v>35</v>
      </c>
      <c r="C73" s="147"/>
      <c r="D73" s="147"/>
      <c r="E73" s="147"/>
      <c r="F73" s="147"/>
      <c r="G73" s="147"/>
      <c r="H73" s="147"/>
      <c r="I73" s="147"/>
      <c r="J73" s="147"/>
      <c r="K73" s="147"/>
    </row>
    <row r="74" spans="1:25" ht="33.75" hidden="1" customHeight="1" outlineLevel="1" x14ac:dyDescent="0.25">
      <c r="B74" s="478" t="s">
        <v>76</v>
      </c>
      <c r="C74" s="478"/>
      <c r="D74" s="478"/>
      <c r="E74" s="478"/>
      <c r="F74" s="478"/>
      <c r="G74" s="478"/>
      <c r="H74" s="478"/>
    </row>
    <row r="75" spans="1:25" hidden="1" outlineLevel="1" x14ac:dyDescent="0.25">
      <c r="B75" s="478"/>
      <c r="C75" s="478"/>
      <c r="D75" s="478"/>
      <c r="E75" s="478"/>
      <c r="F75" s="478"/>
      <c r="G75" s="478"/>
      <c r="H75" s="478"/>
    </row>
    <row r="76" spans="1:25" ht="15" hidden="1" customHeight="1" outlineLevel="1" x14ac:dyDescent="0.25">
      <c r="C76" s="3"/>
      <c r="D76" s="3"/>
      <c r="E76" s="3"/>
      <c r="F76" s="3"/>
      <c r="G76" s="3"/>
      <c r="H76" s="3"/>
    </row>
    <row r="77" spans="1:25" hidden="1" outlineLevel="1" x14ac:dyDescent="0.25">
      <c r="B77" s="2" t="s">
        <v>126</v>
      </c>
      <c r="C77" s="3"/>
      <c r="D77" s="3"/>
      <c r="E77" s="3"/>
      <c r="F77" s="3"/>
      <c r="G77" s="3"/>
      <c r="H77" s="3"/>
    </row>
    <row r="78" spans="1:25" hidden="1" outlineLevel="1" x14ac:dyDescent="0.25">
      <c r="B78" s="492" t="s">
        <v>175</v>
      </c>
      <c r="C78" s="492"/>
      <c r="D78" s="492"/>
      <c r="E78" s="492"/>
      <c r="F78" s="492"/>
      <c r="G78" s="492"/>
      <c r="H78" s="492"/>
      <c r="I78" s="492"/>
    </row>
    <row r="79" spans="1:25" ht="21" hidden="1" outlineLevel="1" x14ac:dyDescent="0.25">
      <c r="B79" s="172" t="s">
        <v>126</v>
      </c>
      <c r="C79" s="172"/>
      <c r="D79" s="172">
        <f>C1</f>
        <v>2024</v>
      </c>
      <c r="E79" s="172">
        <f>D1</f>
        <v>2025</v>
      </c>
      <c r="F79" s="172">
        <f>E1</f>
        <v>2026</v>
      </c>
      <c r="G79" s="172">
        <f>F1</f>
        <v>2027</v>
      </c>
      <c r="H79" s="172">
        <f>G1</f>
        <v>2028</v>
      </c>
    </row>
    <row r="80" spans="1:25" hidden="1" outlineLevel="1" x14ac:dyDescent="0.25">
      <c r="B80" s="405" t="s">
        <v>115</v>
      </c>
      <c r="C80" s="406" t="s">
        <v>89</v>
      </c>
      <c r="D80" s="41">
        <v>1125000</v>
      </c>
      <c r="E80" s="41">
        <v>1200000</v>
      </c>
      <c r="F80" s="41">
        <v>1275000</v>
      </c>
      <c r="G80" s="41">
        <v>1425000</v>
      </c>
      <c r="H80" s="41">
        <v>1500000</v>
      </c>
      <c r="J80" s="103"/>
    </row>
    <row r="81" spans="2:10" ht="15.6" hidden="1" outlineLevel="1" x14ac:dyDescent="0.25">
      <c r="B81" s="23" t="s">
        <v>90</v>
      </c>
      <c r="C81" s="53"/>
      <c r="D81" s="424" t="s">
        <v>278</v>
      </c>
      <c r="E81" s="423">
        <f>IFERROR(E80/D80-1,0)</f>
        <v>6.6666666666666652E-2</v>
      </c>
      <c r="F81" s="423">
        <f>IFERROR(F80/E80-1,0)</f>
        <v>6.25E-2</v>
      </c>
      <c r="G81" s="423">
        <f>IFERROR(G80/F80-1,0)</f>
        <v>0.11764705882352944</v>
      </c>
      <c r="H81" s="423">
        <f>IFERROR(H80/G80-1,0)</f>
        <v>5.2631578947368363E-2</v>
      </c>
    </row>
    <row r="82" spans="2:10" hidden="1" outlineLevel="1" x14ac:dyDescent="0.25">
      <c r="B82" s="405" t="s">
        <v>263</v>
      </c>
      <c r="C82" s="406" t="s">
        <v>89</v>
      </c>
      <c r="D82" s="41">
        <v>250000</v>
      </c>
      <c r="E82" s="41">
        <v>325000.00000000017</v>
      </c>
      <c r="F82" s="41">
        <v>400000</v>
      </c>
      <c r="G82" s="41">
        <v>449999.99999999965</v>
      </c>
      <c r="H82" s="41">
        <v>500000</v>
      </c>
      <c r="J82" s="15"/>
    </row>
    <row r="83" spans="2:10" ht="15.6" hidden="1" outlineLevel="1" x14ac:dyDescent="0.25">
      <c r="B83" s="23" t="s">
        <v>90</v>
      </c>
      <c r="C83" s="52"/>
      <c r="D83" s="423">
        <v>0.5</v>
      </c>
      <c r="E83" s="423">
        <f>IFERROR(E82/D82-1,0)</f>
        <v>0.30000000000000071</v>
      </c>
      <c r="F83" s="423">
        <f>IFERROR(F82/E82-1,0)</f>
        <v>0.23076923076923017</v>
      </c>
      <c r="G83" s="423">
        <f>IFERROR(G82/F82-1,0)</f>
        <v>0.12499999999999911</v>
      </c>
      <c r="H83" s="423">
        <f>IFERROR(H82/G82-1,0)</f>
        <v>0.11111111111111205</v>
      </c>
      <c r="J83" s="15"/>
    </row>
    <row r="84" spans="2:10" hidden="1" outlineLevel="1" x14ac:dyDescent="0.25">
      <c r="B84" s="405" t="s">
        <v>258</v>
      </c>
      <c r="C84" s="406" t="s">
        <v>89</v>
      </c>
      <c r="D84" s="41">
        <v>300000</v>
      </c>
      <c r="E84" s="41">
        <v>390000.00000000023</v>
      </c>
      <c r="F84" s="41">
        <v>480000</v>
      </c>
      <c r="G84" s="41">
        <v>540000</v>
      </c>
      <c r="H84" s="41">
        <v>600000</v>
      </c>
      <c r="J84" s="101"/>
    </row>
    <row r="85" spans="2:10" ht="15.6" hidden="1" outlineLevel="1" x14ac:dyDescent="0.25">
      <c r="B85" s="23" t="s">
        <v>90</v>
      </c>
      <c r="C85" s="53"/>
      <c r="D85" s="424" t="s">
        <v>278</v>
      </c>
      <c r="E85" s="423">
        <f>IFERROR(E84/D84-1,0)</f>
        <v>0.30000000000000071</v>
      </c>
      <c r="F85" s="423">
        <f>IFERROR(F84/E84-1,0)</f>
        <v>0.23076923076922995</v>
      </c>
      <c r="G85" s="423">
        <f>IFERROR(G84/F84-1,0)</f>
        <v>0.125</v>
      </c>
      <c r="H85" s="423">
        <f>IFERROR(H84/G84-1,0)</f>
        <v>0.11111111111111116</v>
      </c>
      <c r="J85" s="15"/>
    </row>
    <row r="86" spans="2:10" hidden="1" outlineLevel="1" x14ac:dyDescent="0.25">
      <c r="B86" s="405" t="s">
        <v>259</v>
      </c>
      <c r="C86" s="406" t="s">
        <v>89</v>
      </c>
      <c r="D86" s="41">
        <v>50000</v>
      </c>
      <c r="E86" s="41">
        <v>25000</v>
      </c>
      <c r="F86" s="41">
        <v>25000</v>
      </c>
      <c r="G86" s="41">
        <v>25000</v>
      </c>
      <c r="H86" s="41">
        <v>25000</v>
      </c>
      <c r="J86" s="15"/>
    </row>
    <row r="87" spans="2:10" ht="15.6" hidden="1" outlineLevel="1" x14ac:dyDescent="0.25">
      <c r="B87" s="23" t="s">
        <v>90</v>
      </c>
      <c r="C87" s="53"/>
      <c r="D87" s="423">
        <v>1</v>
      </c>
      <c r="E87" s="423">
        <f>IFERROR(E86/D86-1,0)</f>
        <v>-0.5</v>
      </c>
      <c r="F87" s="423">
        <f>IFERROR(F86/E86-1,0)</f>
        <v>0</v>
      </c>
      <c r="G87" s="423">
        <f>IFERROR(G86/F86-1,0)</f>
        <v>0</v>
      </c>
      <c r="H87" s="423">
        <f>IFERROR(H86/G86-1,0)</f>
        <v>0</v>
      </c>
      <c r="J87" s="15"/>
    </row>
    <row r="88" spans="2:10" hidden="1" outlineLevel="1" x14ac:dyDescent="0.25">
      <c r="B88" s="405" t="s">
        <v>260</v>
      </c>
      <c r="C88" s="406" t="s">
        <v>89</v>
      </c>
      <c r="D88" s="41">
        <v>2000</v>
      </c>
      <c r="E88" s="41">
        <v>2000</v>
      </c>
      <c r="F88" s="41">
        <v>2000</v>
      </c>
      <c r="G88" s="41">
        <v>2000</v>
      </c>
      <c r="H88" s="41">
        <v>2000</v>
      </c>
      <c r="J88" s="15"/>
    </row>
    <row r="89" spans="2:10" ht="15.6" hidden="1" outlineLevel="1" x14ac:dyDescent="0.25">
      <c r="B89" s="23" t="s">
        <v>90</v>
      </c>
      <c r="C89" s="53"/>
      <c r="D89" s="424" t="s">
        <v>278</v>
      </c>
      <c r="E89" s="423">
        <f>IFERROR(E88/D88-1,0)</f>
        <v>0</v>
      </c>
      <c r="F89" s="423">
        <f>IFERROR(F88/E88-1,0)</f>
        <v>0</v>
      </c>
      <c r="G89" s="423">
        <f>IFERROR(G88/F88-1,0)</f>
        <v>0</v>
      </c>
      <c r="H89" s="423">
        <f>IFERROR(H88/G88-1,0)</f>
        <v>0</v>
      </c>
      <c r="J89" s="15"/>
    </row>
    <row r="90" spans="2:10" hidden="1" outlineLevel="1" x14ac:dyDescent="0.25">
      <c r="B90" s="405" t="s">
        <v>261</v>
      </c>
      <c r="C90" s="406" t="s">
        <v>89</v>
      </c>
      <c r="D90" s="41">
        <v>12000</v>
      </c>
      <c r="E90" s="41">
        <v>12000</v>
      </c>
      <c r="F90" s="41">
        <v>12000</v>
      </c>
      <c r="G90" s="41">
        <v>12000</v>
      </c>
      <c r="H90" s="41">
        <v>12000</v>
      </c>
      <c r="J90" s="15"/>
    </row>
    <row r="91" spans="2:10" ht="15.6" hidden="1" outlineLevel="1" x14ac:dyDescent="0.25">
      <c r="B91" s="23" t="s">
        <v>90</v>
      </c>
      <c r="C91" s="53"/>
      <c r="D91" s="424" t="s">
        <v>278</v>
      </c>
      <c r="E91" s="423">
        <f>IFERROR(E90/D90-1,0)</f>
        <v>0</v>
      </c>
      <c r="F91" s="423">
        <f>IFERROR(F90/E90-1,0)</f>
        <v>0</v>
      </c>
      <c r="G91" s="423">
        <f>IFERROR(G90/F90-1,0)</f>
        <v>0</v>
      </c>
      <c r="H91" s="423">
        <f>IFERROR(H90/G90-1,0)</f>
        <v>0</v>
      </c>
      <c r="J91" s="15"/>
    </row>
    <row r="92" spans="2:10" hidden="1" outlineLevel="1" x14ac:dyDescent="0.25">
      <c r="B92" s="405" t="s">
        <v>262</v>
      </c>
      <c r="C92" s="406" t="s">
        <v>89</v>
      </c>
      <c r="D92" s="41">
        <v>36000</v>
      </c>
      <c r="E92" s="41">
        <v>36000</v>
      </c>
      <c r="F92" s="41">
        <v>36000</v>
      </c>
      <c r="G92" s="41">
        <v>36000</v>
      </c>
      <c r="H92" s="41">
        <v>36000</v>
      </c>
      <c r="J92" s="15"/>
    </row>
    <row r="93" spans="2:10" ht="15.6" hidden="1" outlineLevel="1" x14ac:dyDescent="0.25">
      <c r="B93" s="23" t="s">
        <v>90</v>
      </c>
      <c r="C93" s="53"/>
      <c r="D93" s="424" t="s">
        <v>278</v>
      </c>
      <c r="E93" s="423">
        <f>IFERROR(E92/D92-1,0)</f>
        <v>0</v>
      </c>
      <c r="F93" s="423">
        <f>IFERROR(F92/E92-1,0)</f>
        <v>0</v>
      </c>
      <c r="G93" s="423">
        <f>IFERROR(G92/F92-1,0)</f>
        <v>0</v>
      </c>
      <c r="H93" s="423">
        <f>IFERROR(H92/G92-1,0)</f>
        <v>0</v>
      </c>
      <c r="J93" s="15"/>
    </row>
    <row r="94" spans="2:10" hidden="1" outlineLevel="1" x14ac:dyDescent="0.25">
      <c r="B94" s="405" t="s">
        <v>280</v>
      </c>
      <c r="C94" s="406" t="s">
        <v>89</v>
      </c>
      <c r="D94" s="41">
        <v>33000</v>
      </c>
      <c r="E94" s="41">
        <v>39000</v>
      </c>
      <c r="F94" s="41">
        <v>48000</v>
      </c>
      <c r="G94" s="41">
        <v>54000</v>
      </c>
      <c r="H94" s="41">
        <v>60000</v>
      </c>
      <c r="J94" s="15"/>
    </row>
    <row r="95" spans="2:10" ht="15.6" hidden="1" outlineLevel="1" x14ac:dyDescent="0.25">
      <c r="B95" s="23" t="s">
        <v>90</v>
      </c>
      <c r="C95" s="53"/>
      <c r="D95" s="424" t="s">
        <v>278</v>
      </c>
      <c r="E95" s="423">
        <f>IFERROR(E94/D94-1,0)</f>
        <v>0.18181818181818188</v>
      </c>
      <c r="F95" s="423">
        <f>IFERROR(F94/E94-1,0)</f>
        <v>0.23076923076923084</v>
      </c>
      <c r="G95" s="423">
        <f>IFERROR(G94/F94-1,0)</f>
        <v>0.125</v>
      </c>
      <c r="H95" s="423">
        <f>IFERROR(H94/G94-1,0)</f>
        <v>0.11111111111111116</v>
      </c>
      <c r="J95" s="15"/>
    </row>
    <row r="96" spans="2:10" hidden="1" outlineLevel="1" x14ac:dyDescent="0.25">
      <c r="B96" s="405" t="s">
        <v>135</v>
      </c>
      <c r="C96" s="406" t="s">
        <v>89</v>
      </c>
      <c r="D96" s="41">
        <v>30000</v>
      </c>
      <c r="E96" s="41">
        <v>42000</v>
      </c>
      <c r="F96" s="41">
        <v>48000</v>
      </c>
      <c r="G96" s="41">
        <v>54000</v>
      </c>
      <c r="H96" s="41">
        <v>60000</v>
      </c>
      <c r="J96" s="15"/>
    </row>
    <row r="97" spans="1:10" ht="15" hidden="1" outlineLevel="1" x14ac:dyDescent="0.25">
      <c r="B97" s="54" t="s">
        <v>90</v>
      </c>
      <c r="C97" s="53"/>
      <c r="D97" s="424" t="s">
        <v>278</v>
      </c>
      <c r="E97" s="423">
        <f>IFERROR(E96/D96-1,0)</f>
        <v>0.39999999999999991</v>
      </c>
      <c r="F97" s="423">
        <f>IFERROR(F96/E96-1,0)</f>
        <v>0.14285714285714279</v>
      </c>
      <c r="G97" s="423">
        <f>IFERROR(G96/F96-1,0)</f>
        <v>0.125</v>
      </c>
      <c r="H97" s="423">
        <f>IFERROR(H96/G96-1,0)</f>
        <v>0.11111111111111116</v>
      </c>
      <c r="J97" s="15"/>
    </row>
    <row r="98" spans="1:10" ht="14.7" hidden="1" customHeight="1" outlineLevel="1" x14ac:dyDescent="0.25">
      <c r="B98" s="51" t="str">
        <f>+B112</f>
        <v>إيجارات</v>
      </c>
      <c r="C98" s="490" t="s">
        <v>106</v>
      </c>
      <c r="D98" s="48">
        <f>+D114*12</f>
        <v>600000</v>
      </c>
      <c r="E98" s="48">
        <f>+E114*12</f>
        <v>600000</v>
      </c>
      <c r="F98" s="48">
        <f>+F114*12</f>
        <v>600000</v>
      </c>
      <c r="G98" s="48">
        <f>+G114*12</f>
        <v>600000</v>
      </c>
      <c r="H98" s="48">
        <f>+H114*12</f>
        <v>600000</v>
      </c>
      <c r="J98" s="15"/>
    </row>
    <row r="99" spans="1:10" ht="15.6" hidden="1" outlineLevel="1" x14ac:dyDescent="0.25">
      <c r="B99" s="23"/>
      <c r="C99" s="491"/>
      <c r="D99" s="424" t="s">
        <v>278</v>
      </c>
      <c r="E99" s="423">
        <f>IFERROR(E98/D98-1,0)</f>
        <v>0</v>
      </c>
      <c r="F99" s="423">
        <f>IFERROR(F98/E98-1,0)</f>
        <v>0</v>
      </c>
      <c r="G99" s="423">
        <f>IFERROR(G98/F98-1,0)</f>
        <v>0</v>
      </c>
      <c r="H99" s="423">
        <f>IFERROR(H98/G98-1,0)</f>
        <v>0</v>
      </c>
      <c r="J99" s="15"/>
    </row>
    <row r="100" spans="1:10" hidden="1" outlineLevel="1" x14ac:dyDescent="0.25">
      <c r="B100" s="51" t="str">
        <f>+B115</f>
        <v>تأمينات</v>
      </c>
      <c r="C100" s="490" t="s">
        <v>106</v>
      </c>
      <c r="D100" s="48">
        <f>+D117*12</f>
        <v>150000</v>
      </c>
      <c r="E100" s="48">
        <f>+E117*12</f>
        <v>150000</v>
      </c>
      <c r="F100" s="48">
        <f>+F117*12</f>
        <v>150000</v>
      </c>
      <c r="G100" s="48">
        <f>+G117*12</f>
        <v>150000</v>
      </c>
      <c r="H100" s="48">
        <f>+H117*12</f>
        <v>150000</v>
      </c>
      <c r="J100" s="15"/>
    </row>
    <row r="101" spans="1:10" hidden="1" outlineLevel="1" x14ac:dyDescent="0.25">
      <c r="B101" s="57"/>
      <c r="C101" s="491"/>
      <c r="D101" s="424" t="s">
        <v>278</v>
      </c>
      <c r="E101" s="423">
        <f>IFERROR(E100/D100-1,0)</f>
        <v>0</v>
      </c>
      <c r="F101" s="423">
        <f>IFERROR(F100/E100-1,0)</f>
        <v>0</v>
      </c>
      <c r="G101" s="423">
        <f>IFERROR(G100/F100-1,0)</f>
        <v>0</v>
      </c>
      <c r="H101" s="423">
        <f>IFERROR(H100/G100-1,0)</f>
        <v>0</v>
      </c>
    </row>
    <row r="102" spans="1:10" hidden="1" outlineLevel="1" x14ac:dyDescent="0.25">
      <c r="B102" s="51" t="str">
        <f>+B118</f>
        <v>مصاريف تأسيس</v>
      </c>
      <c r="C102" s="490" t="s">
        <v>106</v>
      </c>
      <c r="D102" s="48">
        <f>$D$120*12</f>
        <v>0</v>
      </c>
      <c r="E102" s="48">
        <f>$D$120*12</f>
        <v>0</v>
      </c>
      <c r="F102" s="48">
        <f>$D$120*12</f>
        <v>0</v>
      </c>
      <c r="G102" s="48">
        <f>$D$120*12</f>
        <v>0</v>
      </c>
      <c r="H102" s="48">
        <f>$D$120*12</f>
        <v>0</v>
      </c>
      <c r="J102" s="15"/>
    </row>
    <row r="103" spans="1:10" hidden="1" outlineLevel="1" x14ac:dyDescent="0.25">
      <c r="B103" s="57"/>
      <c r="C103" s="491"/>
      <c r="D103" s="424" t="s">
        <v>278</v>
      </c>
      <c r="E103" s="423">
        <f>IFERROR(E102/D102-1,0)</f>
        <v>0</v>
      </c>
      <c r="F103" s="423">
        <f>IFERROR(F102/E102-1,0)</f>
        <v>0</v>
      </c>
      <c r="G103" s="423">
        <f>IFERROR(G102/F102-1,0)</f>
        <v>0</v>
      </c>
      <c r="H103" s="423">
        <f>IFERROR(H102/G102-1,0)</f>
        <v>0</v>
      </c>
    </row>
    <row r="104" spans="1:10" hidden="1" outlineLevel="1" x14ac:dyDescent="0.25">
      <c r="B104" s="51" t="s">
        <v>37</v>
      </c>
      <c r="C104" s="490" t="s">
        <v>121</v>
      </c>
      <c r="D104" s="48">
        <f>G41</f>
        <v>89800</v>
      </c>
      <c r="E104" s="48">
        <f>H41</f>
        <v>89800</v>
      </c>
      <c r="F104" s="48">
        <f>I41</f>
        <v>89800</v>
      </c>
      <c r="G104" s="48">
        <f>J41</f>
        <v>86800</v>
      </c>
      <c r="H104" s="48">
        <f>K41</f>
        <v>86800</v>
      </c>
      <c r="J104" s="15"/>
    </row>
    <row r="105" spans="1:10" ht="15.6" hidden="1" outlineLevel="1" x14ac:dyDescent="0.25">
      <c r="B105" s="23"/>
      <c r="C105" s="491"/>
      <c r="D105" s="424" t="s">
        <v>278</v>
      </c>
      <c r="E105" s="423">
        <f>IFERROR(E104/D104-1,0)</f>
        <v>0</v>
      </c>
      <c r="F105" s="423">
        <f>IFERROR(F104/E104-1,0)</f>
        <v>0</v>
      </c>
      <c r="G105" s="423">
        <f>IFERROR(G104/F104-1,0)</f>
        <v>-3.3407572383073458E-2</v>
      </c>
      <c r="H105" s="423">
        <f>IFERROR(H104/G104-1,0)</f>
        <v>0</v>
      </c>
    </row>
    <row r="106" spans="1:10" ht="14.4" hidden="1" outlineLevel="1" thickBot="1" x14ac:dyDescent="0.3">
      <c r="B106" s="12" t="s">
        <v>38</v>
      </c>
      <c r="C106" s="26"/>
      <c r="D106" s="27">
        <f>D80+D82+D104+D86+D88+D90+D92+D94+D96+D84+D98+D100+D102</f>
        <v>2677800</v>
      </c>
      <c r="E106" s="27">
        <f>E80+E82+E104+E86+E88+E90+E92+E94+E96+E84+E98+E100+E102</f>
        <v>2910800.0000000005</v>
      </c>
      <c r="F106" s="27">
        <f>F80+F82+F104+F86+F88+F90+F92+F94+F96+F84+F98+F100+F102</f>
        <v>3165800</v>
      </c>
      <c r="G106" s="27">
        <f>G80+G82+G104+G86+G88+G90+G92+G94+G96+G84+G98+G100+G102</f>
        <v>3434799.9999999995</v>
      </c>
      <c r="H106" s="27">
        <f>H80+H82+H104+H86+H88+H90+H92+H94+H96+H84+H98+H100+H102</f>
        <v>3631800</v>
      </c>
      <c r="J106" s="15"/>
    </row>
    <row r="107" spans="1:10" ht="14.4" hidden="1" outlineLevel="1" thickTop="1" x14ac:dyDescent="0.25"/>
    <row r="108" spans="1:10" ht="24" hidden="1" customHeight="1" outlineLevel="1" x14ac:dyDescent="0.25">
      <c r="A108" s="55">
        <v>2.1</v>
      </c>
      <c r="B108" s="170" t="s">
        <v>64</v>
      </c>
      <c r="C108" s="171"/>
      <c r="D108" s="171"/>
      <c r="E108" s="171"/>
      <c r="F108" s="171"/>
      <c r="G108" s="171"/>
      <c r="H108" s="171"/>
      <c r="I108" s="171"/>
    </row>
    <row r="109" spans="1:10" hidden="1" outlineLevel="1" x14ac:dyDescent="0.25">
      <c r="B109" s="478" t="s">
        <v>77</v>
      </c>
      <c r="C109" s="478"/>
      <c r="D109" s="478"/>
      <c r="E109" s="478"/>
      <c r="F109" s="478"/>
      <c r="G109" s="478"/>
    </row>
    <row r="110" spans="1:10" ht="16.5" hidden="1" customHeight="1" outlineLevel="1" x14ac:dyDescent="0.25">
      <c r="B110" s="33"/>
      <c r="C110" s="3"/>
      <c r="D110" s="34"/>
      <c r="E110" s="34"/>
      <c r="F110" s="34"/>
      <c r="G110" s="34"/>
      <c r="H110" s="3"/>
    </row>
    <row r="111" spans="1:10" ht="22.5" hidden="1" customHeight="1" outlineLevel="1" x14ac:dyDescent="0.25">
      <c r="B111" s="361" t="s">
        <v>168</v>
      </c>
      <c r="C111" s="361" t="s">
        <v>31</v>
      </c>
      <c r="D111" s="361">
        <f>C1</f>
        <v>2024</v>
      </c>
      <c r="E111" s="361">
        <f>D1</f>
        <v>2025</v>
      </c>
      <c r="F111" s="361">
        <f>E1</f>
        <v>2026</v>
      </c>
      <c r="G111" s="361">
        <f>F1</f>
        <v>2027</v>
      </c>
      <c r="H111" s="361">
        <f>G1</f>
        <v>2028</v>
      </c>
    </row>
    <row r="112" spans="1:10" hidden="1" outlineLevel="1" x14ac:dyDescent="0.25">
      <c r="B112" s="480" t="s">
        <v>171</v>
      </c>
      <c r="C112" s="161" t="s">
        <v>169</v>
      </c>
      <c r="D112" s="169">
        <v>300000</v>
      </c>
      <c r="E112" s="169">
        <v>300000</v>
      </c>
      <c r="F112" s="169">
        <v>300000</v>
      </c>
      <c r="G112" s="169">
        <v>300000</v>
      </c>
      <c r="H112" s="169">
        <v>300000</v>
      </c>
    </row>
    <row r="113" spans="1:10" hidden="1" outlineLevel="1" x14ac:dyDescent="0.25">
      <c r="B113" s="481"/>
      <c r="C113" s="161" t="s">
        <v>170</v>
      </c>
      <c r="D113" s="169">
        <v>6</v>
      </c>
      <c r="E113" s="169">
        <v>6</v>
      </c>
      <c r="F113" s="169">
        <v>6</v>
      </c>
      <c r="G113" s="169">
        <v>6</v>
      </c>
      <c r="H113" s="169">
        <v>6</v>
      </c>
    </row>
    <row r="114" spans="1:10" hidden="1" outlineLevel="1" x14ac:dyDescent="0.25">
      <c r="B114" s="482"/>
      <c r="C114" s="159" t="s">
        <v>65</v>
      </c>
      <c r="D114" s="160">
        <f>IFERROR(D112/D113,0)</f>
        <v>50000</v>
      </c>
      <c r="E114" s="160">
        <f>IFERROR(E112/E113,0)</f>
        <v>50000</v>
      </c>
      <c r="F114" s="160">
        <f>IFERROR(F112/F113,0)</f>
        <v>50000</v>
      </c>
      <c r="G114" s="160">
        <f>IFERROR(G112/G113,0)</f>
        <v>50000</v>
      </c>
      <c r="H114" s="160">
        <f>IFERROR(H112/H113,0)</f>
        <v>50000</v>
      </c>
    </row>
    <row r="115" spans="1:10" hidden="1" outlineLevel="1" x14ac:dyDescent="0.25">
      <c r="B115" s="480" t="s">
        <v>122</v>
      </c>
      <c r="C115" s="161" t="str">
        <f t="shared" ref="C115:C121" si="7">C112</f>
        <v>قيمة الدفعة المقدم</v>
      </c>
      <c r="D115" s="169">
        <v>150000</v>
      </c>
      <c r="E115" s="169">
        <v>150000</v>
      </c>
      <c r="F115" s="169">
        <v>150000</v>
      </c>
      <c r="G115" s="169">
        <v>150000</v>
      </c>
      <c r="H115" s="169">
        <v>150000</v>
      </c>
    </row>
    <row r="116" spans="1:10" hidden="1" outlineLevel="1" x14ac:dyDescent="0.25">
      <c r="B116" s="481"/>
      <c r="C116" s="161" t="str">
        <f t="shared" si="7"/>
        <v>الفترة الخاصة بالدفعة المقدمة</v>
      </c>
      <c r="D116" s="169">
        <v>12</v>
      </c>
      <c r="E116" s="169">
        <v>12</v>
      </c>
      <c r="F116" s="169">
        <v>12</v>
      </c>
      <c r="G116" s="169">
        <v>12</v>
      </c>
      <c r="H116" s="169">
        <v>12</v>
      </c>
    </row>
    <row r="117" spans="1:10" hidden="1" outlineLevel="1" x14ac:dyDescent="0.25">
      <c r="B117" s="482"/>
      <c r="C117" s="159" t="str">
        <f t="shared" si="7"/>
        <v>المصروف الشهري</v>
      </c>
      <c r="D117" s="160">
        <f>IFERROR(D115/D116,0)</f>
        <v>12500</v>
      </c>
      <c r="E117" s="160">
        <f>IFERROR(E115/E116,0)</f>
        <v>12500</v>
      </c>
      <c r="F117" s="160">
        <f>IFERROR(F115/F116,0)</f>
        <v>12500</v>
      </c>
      <c r="G117" s="160">
        <f>IFERROR(G115/G116,0)</f>
        <v>12500</v>
      </c>
      <c r="H117" s="160">
        <f>IFERROR(H115/H116,0)</f>
        <v>12500</v>
      </c>
    </row>
    <row r="118" spans="1:10" hidden="1" outlineLevel="1" x14ac:dyDescent="0.25">
      <c r="B118" s="480" t="s">
        <v>176</v>
      </c>
      <c r="C118" s="161" t="str">
        <f t="shared" si="7"/>
        <v>قيمة الدفعة المقدم</v>
      </c>
      <c r="D118" s="169"/>
      <c r="E118" s="169"/>
      <c r="F118" s="169"/>
      <c r="G118" s="169"/>
      <c r="H118" s="169"/>
    </row>
    <row r="119" spans="1:10" hidden="1" outlineLevel="1" x14ac:dyDescent="0.25">
      <c r="B119" s="481"/>
      <c r="C119" s="161" t="str">
        <f t="shared" si="7"/>
        <v>الفترة الخاصة بالدفعة المقدمة</v>
      </c>
      <c r="D119" s="169">
        <v>1</v>
      </c>
      <c r="E119" s="169"/>
      <c r="F119" s="169"/>
      <c r="G119" s="169"/>
      <c r="H119" s="169"/>
    </row>
    <row r="120" spans="1:10" ht="14.4" hidden="1" outlineLevel="1" thickBot="1" x14ac:dyDescent="0.3">
      <c r="B120" s="481"/>
      <c r="C120" s="165" t="str">
        <f t="shared" si="7"/>
        <v>المصروف الشهري</v>
      </c>
      <c r="D120" s="166">
        <f>IFERROR(D118/D119,0)</f>
        <v>0</v>
      </c>
      <c r="E120" s="166">
        <f>IFERROR(E118/E119,0)</f>
        <v>0</v>
      </c>
      <c r="F120" s="166">
        <f>IFERROR(F118/F119,0)</f>
        <v>0</v>
      </c>
      <c r="G120" s="166">
        <f>IFERROR(G118/G119,0)</f>
        <v>0</v>
      </c>
      <c r="H120" s="166">
        <f>IFERROR(H118/H119,0)</f>
        <v>0</v>
      </c>
    </row>
    <row r="121" spans="1:10" hidden="1" outlineLevel="1" x14ac:dyDescent="0.25">
      <c r="B121" s="483" t="s">
        <v>6</v>
      </c>
      <c r="C121" s="167" t="str">
        <f t="shared" si="7"/>
        <v>قيمة الدفعة المقدم</v>
      </c>
      <c r="D121" s="168">
        <f>D112+D115+D118</f>
        <v>450000</v>
      </c>
      <c r="E121" s="168">
        <f>E112+E115+E118</f>
        <v>450000</v>
      </c>
      <c r="F121" s="168">
        <f>F112+F115+F118</f>
        <v>450000</v>
      </c>
      <c r="G121" s="168">
        <f>G112+G115+G118</f>
        <v>450000</v>
      </c>
      <c r="H121" s="168">
        <f>H112+H115+H118</f>
        <v>450000</v>
      </c>
    </row>
    <row r="122" spans="1:10" ht="14.4" hidden="1" outlineLevel="1" thickBot="1" x14ac:dyDescent="0.3">
      <c r="B122" s="484"/>
      <c r="C122" s="182" t="str">
        <f>C120</f>
        <v>المصروف الشهري</v>
      </c>
      <c r="D122" s="183">
        <f>D114+D117+D120</f>
        <v>62500</v>
      </c>
      <c r="E122" s="183">
        <f>E114+E117+E120</f>
        <v>62500</v>
      </c>
      <c r="F122" s="183">
        <f>F114+F117+F120</f>
        <v>62500</v>
      </c>
      <c r="G122" s="183">
        <f>G114+G117+G120</f>
        <v>62500</v>
      </c>
      <c r="H122" s="183">
        <f>H114+H117+H120</f>
        <v>62500</v>
      </c>
    </row>
    <row r="123" spans="1:10" ht="14.4" hidden="1" outlineLevel="1" thickTop="1" x14ac:dyDescent="0.25">
      <c r="B123" s="162"/>
      <c r="C123" s="163"/>
      <c r="D123" s="164"/>
      <c r="E123" s="164"/>
      <c r="F123" s="164"/>
      <c r="G123" s="164"/>
      <c r="H123" s="164"/>
    </row>
    <row r="124" spans="1:10" ht="18" hidden="1" outlineLevel="1" x14ac:dyDescent="0.25">
      <c r="A124" s="55">
        <v>2.2000000000000002</v>
      </c>
      <c r="B124" s="180" t="s">
        <v>174</v>
      </c>
      <c r="C124" s="181"/>
      <c r="D124" s="181"/>
      <c r="E124" s="181"/>
      <c r="F124" s="181"/>
      <c r="G124" s="181"/>
      <c r="H124" s="181"/>
      <c r="I124" s="181"/>
    </row>
    <row r="125" spans="1:10" ht="14.4" hidden="1" outlineLevel="1" x14ac:dyDescent="0.25">
      <c r="B125" s="179" t="s">
        <v>173</v>
      </c>
      <c r="C125" s="163"/>
      <c r="D125" s="164"/>
      <c r="E125" s="164"/>
      <c r="F125" s="164"/>
      <c r="G125" s="164"/>
      <c r="H125" s="164"/>
    </row>
    <row r="126" spans="1:10" ht="14.4" hidden="1" outlineLevel="1" x14ac:dyDescent="0.25">
      <c r="B126" s="179"/>
      <c r="C126" s="163"/>
      <c r="D126" s="164"/>
      <c r="E126" s="164"/>
      <c r="F126" s="164"/>
      <c r="G126" s="164"/>
      <c r="H126" s="164"/>
    </row>
    <row r="127" spans="1:10" ht="21" hidden="1" outlineLevel="1" x14ac:dyDescent="0.25">
      <c r="B127" s="173" t="s">
        <v>31</v>
      </c>
      <c r="C127" s="173" t="s">
        <v>178</v>
      </c>
      <c r="E127" s="13"/>
      <c r="F127" s="13"/>
      <c r="G127" s="13"/>
      <c r="H127" s="13"/>
      <c r="I127" s="13"/>
      <c r="J127" s="13"/>
    </row>
    <row r="128" spans="1:10" hidden="1" outlineLevel="1" x14ac:dyDescent="0.25">
      <c r="B128" s="174" t="s">
        <v>177</v>
      </c>
      <c r="C128" s="175">
        <v>2.5000000000000001E-2</v>
      </c>
      <c r="E128" s="13"/>
      <c r="F128" s="13"/>
      <c r="G128" s="13"/>
      <c r="H128" s="13"/>
      <c r="I128" s="13"/>
    </row>
    <row r="129" spans="1:11" hidden="1" outlineLevel="1" x14ac:dyDescent="0.25">
      <c r="B129" s="176" t="s">
        <v>172</v>
      </c>
      <c r="C129" s="175"/>
    </row>
    <row r="130" spans="1:11" ht="14.4" hidden="1" outlineLevel="1" x14ac:dyDescent="0.25">
      <c r="B130" s="177" t="s">
        <v>6</v>
      </c>
      <c r="C130" s="178">
        <f>+C128+C129</f>
        <v>2.5000000000000001E-2</v>
      </c>
    </row>
    <row r="131" spans="1:11" ht="15" collapsed="1" thickBot="1" x14ac:dyDescent="0.3">
      <c r="A131" s="152"/>
      <c r="B131" s="153"/>
      <c r="C131" s="153"/>
      <c r="D131" s="153"/>
      <c r="E131" s="153"/>
      <c r="F131" s="154">
        <f>SUM(F121:F130)</f>
        <v>512500</v>
      </c>
      <c r="G131" s="153"/>
      <c r="H131" s="153"/>
      <c r="I131" s="153"/>
      <c r="J131" s="153"/>
      <c r="K131" s="153"/>
    </row>
    <row r="132" spans="1:11" ht="14.4" thickTop="1" x14ac:dyDescent="0.25"/>
    <row r="133" spans="1:11" ht="18" x14ac:dyDescent="0.25">
      <c r="A133" s="145">
        <v>4</v>
      </c>
      <c r="B133" s="146" t="s">
        <v>144</v>
      </c>
      <c r="C133" s="147"/>
      <c r="D133" s="147"/>
      <c r="E133" s="147"/>
      <c r="F133" s="147"/>
      <c r="G133" s="147"/>
      <c r="H133" s="147"/>
      <c r="I133" s="147"/>
      <c r="J133" s="147"/>
      <c r="K133" s="147"/>
    </row>
    <row r="134" spans="1:11" hidden="1" outlineLevel="1" x14ac:dyDescent="0.25"/>
    <row r="135" spans="1:11" hidden="1" outlineLevel="1" x14ac:dyDescent="0.25">
      <c r="B135" s="2" t="s">
        <v>94</v>
      </c>
    </row>
    <row r="136" spans="1:11" ht="21" hidden="1" outlineLevel="1" x14ac:dyDescent="0.25">
      <c r="B136" s="184" t="s">
        <v>31</v>
      </c>
      <c r="C136" s="184" t="s">
        <v>103</v>
      </c>
      <c r="D136" s="184">
        <f>C1</f>
        <v>2024</v>
      </c>
      <c r="E136" s="184">
        <f>D1</f>
        <v>2025</v>
      </c>
      <c r="F136" s="184">
        <f>E1</f>
        <v>2026</v>
      </c>
      <c r="G136" s="184">
        <f>F1</f>
        <v>2027</v>
      </c>
      <c r="H136" s="184">
        <f>G1</f>
        <v>2028</v>
      </c>
    </row>
    <row r="137" spans="1:11" hidden="1" outlineLevel="1" x14ac:dyDescent="0.25">
      <c r="B137" s="5" t="s">
        <v>102</v>
      </c>
      <c r="C137" s="407">
        <v>90</v>
      </c>
      <c r="D137" s="62">
        <f>-'التقرير '!J$155/360*$C137</f>
        <v>456860.35</v>
      </c>
      <c r="E137" s="62">
        <f>-'التقرير '!K$155/360*$C137</f>
        <v>687831.13749999995</v>
      </c>
      <c r="F137" s="62">
        <f>-'التقرير '!L$155/360*$C137</f>
        <v>846561.4</v>
      </c>
      <c r="G137" s="62">
        <f>-'التقرير '!M$155/360*$C137</f>
        <v>952381.57499999995</v>
      </c>
      <c r="H137" s="62">
        <f>-'التقرير '!N$155/360*$C137</f>
        <v>1058201.75</v>
      </c>
    </row>
    <row r="138" spans="1:11" hidden="1" outlineLevel="1" x14ac:dyDescent="0.25">
      <c r="B138" s="5" t="s">
        <v>140</v>
      </c>
      <c r="C138" s="407">
        <v>20</v>
      </c>
      <c r="D138" s="62">
        <f>'التقرير '!J$153/360*$C138</f>
        <v>239870.11111111112</v>
      </c>
      <c r="E138" s="62">
        <f>'التقرير '!K$153/360*$C138</f>
        <v>361108.94444444444</v>
      </c>
      <c r="F138" s="62">
        <f>'التقرير '!L$153/360*$C138</f>
        <v>444441.77777777775</v>
      </c>
      <c r="G138" s="62">
        <f>'التقرير '!M$153/360*$C138</f>
        <v>499997</v>
      </c>
      <c r="H138" s="62">
        <f>'التقرير '!N$153/360*$C138</f>
        <v>555552.22222222225</v>
      </c>
    </row>
    <row r="139" spans="1:11" hidden="1" outlineLevel="1" x14ac:dyDescent="0.25">
      <c r="B139" s="5" t="s">
        <v>141</v>
      </c>
      <c r="C139" s="407">
        <v>90</v>
      </c>
      <c r="D139" s="62">
        <f>-'التقرير '!J$155/360*$C139</f>
        <v>456860.35</v>
      </c>
      <c r="E139" s="62">
        <f>-'التقرير '!K$155/360*$C139</f>
        <v>687831.13749999995</v>
      </c>
      <c r="F139" s="62">
        <f>-'التقرير '!L$155/360*$C139</f>
        <v>846561.4</v>
      </c>
      <c r="G139" s="62">
        <f>-'التقرير '!M$155/360*$C139</f>
        <v>952381.57499999995</v>
      </c>
      <c r="H139" s="62">
        <f>-'التقرير '!N$155/360*$C139</f>
        <v>1058201.75</v>
      </c>
    </row>
    <row r="140" spans="1:11" hidden="1" outlineLevel="1" x14ac:dyDescent="0.25">
      <c r="E140" s="13"/>
      <c r="F140" s="13"/>
      <c r="G140" s="13"/>
      <c r="H140" s="13"/>
      <c r="I140" s="13"/>
    </row>
    <row r="141" spans="1:11" hidden="1" outlineLevel="1" x14ac:dyDescent="0.25">
      <c r="E141" s="13"/>
      <c r="F141" s="13"/>
      <c r="G141" s="13"/>
      <c r="H141" s="13"/>
      <c r="I141" s="13"/>
    </row>
    <row r="142" spans="1:11" hidden="1" outlineLevel="1" x14ac:dyDescent="0.25">
      <c r="B142" s="479" t="s">
        <v>282</v>
      </c>
      <c r="C142" s="479"/>
      <c r="D142" s="479"/>
      <c r="F142" s="102"/>
      <c r="G142" s="102"/>
      <c r="H142" s="102"/>
      <c r="I142" s="102"/>
    </row>
    <row r="143" spans="1:11" ht="15" hidden="1" customHeight="1" outlineLevel="1" x14ac:dyDescent="0.25">
      <c r="B143" s="478" t="s">
        <v>127</v>
      </c>
      <c r="C143" s="478"/>
      <c r="D143" s="478"/>
      <c r="E143" s="478"/>
      <c r="F143" s="478"/>
      <c r="G143" s="478"/>
      <c r="H143" s="478"/>
    </row>
    <row r="144" spans="1:11" hidden="1" outlineLevel="1" x14ac:dyDescent="0.25">
      <c r="B144" s="478"/>
      <c r="C144" s="478"/>
      <c r="D144" s="478"/>
      <c r="E144" s="478"/>
      <c r="F144" s="478"/>
      <c r="G144" s="478"/>
      <c r="H144" s="478"/>
    </row>
    <row r="145" spans="1:11" hidden="1" outlineLevel="1" x14ac:dyDescent="0.25"/>
    <row r="146" spans="1:11" hidden="1" outlineLevel="1" x14ac:dyDescent="0.25">
      <c r="B146" s="31" t="s">
        <v>68</v>
      </c>
      <c r="D146" s="185">
        <v>3</v>
      </c>
    </row>
    <row r="147" spans="1:11" hidden="1" outlineLevel="1" x14ac:dyDescent="0.25">
      <c r="B147" s="31"/>
      <c r="C147" s="31"/>
      <c r="D147" s="11"/>
      <c r="E147" s="11"/>
      <c r="F147" s="11"/>
    </row>
    <row r="148" spans="1:11" ht="15" collapsed="1" thickBot="1" x14ac:dyDescent="0.3">
      <c r="A148" s="152"/>
      <c r="B148" s="153"/>
      <c r="C148" s="153"/>
      <c r="D148" s="153"/>
      <c r="E148" s="153"/>
      <c r="F148" s="154">
        <f>SUM(F138:F147)</f>
        <v>1291003.1777777779</v>
      </c>
      <c r="G148" s="153"/>
      <c r="H148" s="153"/>
      <c r="I148" s="153"/>
      <c r="J148" s="153"/>
      <c r="K148" s="153"/>
    </row>
    <row r="149" spans="1:11" ht="14.4" thickTop="1" x14ac:dyDescent="0.25"/>
    <row r="150" spans="1:11" ht="18" x14ac:dyDescent="0.25">
      <c r="A150" s="145">
        <v>5</v>
      </c>
      <c r="B150" s="146" t="s">
        <v>61</v>
      </c>
      <c r="C150" s="147"/>
      <c r="D150" s="147"/>
      <c r="E150" s="147"/>
      <c r="F150" s="147"/>
      <c r="G150" s="147"/>
      <c r="H150" s="147"/>
      <c r="I150" s="147"/>
      <c r="J150" s="147"/>
      <c r="K150" s="147"/>
    </row>
    <row r="151" spans="1:11" outlineLevel="1" x14ac:dyDescent="0.25">
      <c r="B151" s="2"/>
    </row>
    <row r="152" spans="1:11" ht="113.25" customHeight="1" outlineLevel="1" x14ac:dyDescent="0.25">
      <c r="A152" s="56"/>
      <c r="B152" s="486" t="s">
        <v>179</v>
      </c>
      <c r="C152" s="486"/>
      <c r="D152" s="486"/>
      <c r="E152" s="486"/>
      <c r="F152" s="486"/>
      <c r="G152" s="486"/>
      <c r="H152" s="486"/>
      <c r="I152" s="486"/>
      <c r="J152" s="486"/>
      <c r="K152" s="486"/>
    </row>
    <row r="153" spans="1:11" ht="14.4" outlineLevel="1" x14ac:dyDescent="0.25">
      <c r="B153" s="487" t="s">
        <v>180</v>
      </c>
      <c r="C153" s="477"/>
      <c r="D153" s="477"/>
      <c r="E153" s="11"/>
      <c r="F153" s="11"/>
    </row>
    <row r="154" spans="1:11" ht="14.4" outlineLevel="1" thickBot="1" x14ac:dyDescent="0.3">
      <c r="B154" s="32" t="s">
        <v>96</v>
      </c>
      <c r="C154" s="32"/>
      <c r="D154" s="12" t="s">
        <v>6</v>
      </c>
      <c r="E154" s="2"/>
      <c r="F154" s="2"/>
    </row>
    <row r="155" spans="1:11" ht="14.4" outlineLevel="1" thickTop="1" x14ac:dyDescent="0.25">
      <c r="B155" s="31" t="s">
        <v>63</v>
      </c>
      <c r="C155" s="31"/>
      <c r="D155" s="20">
        <f>E41</f>
        <v>443000</v>
      </c>
      <c r="E155" s="20"/>
      <c r="F155" s="20"/>
    </row>
    <row r="156" spans="1:11" outlineLevel="1" x14ac:dyDescent="0.25">
      <c r="B156" s="31"/>
      <c r="C156" s="31"/>
      <c r="D156" s="20"/>
      <c r="E156" s="20"/>
      <c r="F156" s="20"/>
    </row>
    <row r="157" spans="1:11" ht="14.4" outlineLevel="1" thickBot="1" x14ac:dyDescent="0.3">
      <c r="B157" s="32" t="s">
        <v>95</v>
      </c>
      <c r="C157" s="32"/>
      <c r="D157" s="12"/>
      <c r="E157" s="2"/>
      <c r="F157" s="2"/>
    </row>
    <row r="158" spans="1:11" ht="14.4" outlineLevel="1" thickTop="1" x14ac:dyDescent="0.25">
      <c r="B158" t="s">
        <v>66</v>
      </c>
      <c r="C158" s="31"/>
      <c r="D158" s="20">
        <f>+D121</f>
        <v>450000</v>
      </c>
      <c r="E158" s="20"/>
      <c r="F158" s="20"/>
    </row>
    <row r="159" spans="1:11" outlineLevel="1" x14ac:dyDescent="0.25">
      <c r="B159" t="s">
        <v>105</v>
      </c>
      <c r="C159" s="31"/>
      <c r="D159" s="20">
        <f>D137</f>
        <v>456860.35</v>
      </c>
      <c r="E159" s="20"/>
      <c r="F159" s="20"/>
    </row>
    <row r="160" spans="1:11" outlineLevel="1" x14ac:dyDescent="0.25">
      <c r="B160" t="s">
        <v>93</v>
      </c>
      <c r="C160" s="31"/>
      <c r="D160" s="20">
        <f>(D106-D104-D102-D100-D98)/12*D146</f>
        <v>459500</v>
      </c>
      <c r="E160" s="20"/>
      <c r="F160" s="20"/>
    </row>
    <row r="161" spans="1:19" outlineLevel="1" x14ac:dyDescent="0.25">
      <c r="B161" t="s">
        <v>67</v>
      </c>
      <c r="C161" s="31"/>
      <c r="D161" s="20">
        <f>IF(C171=0,0,('ادخال  التوقعات المالية'!C171/'ادخال  التوقعات المالية'!C172/12)*D146)</f>
        <v>33333.333333333336</v>
      </c>
      <c r="E161" s="20"/>
      <c r="F161" s="20"/>
    </row>
    <row r="162" spans="1:19" ht="14.4" outlineLevel="1" thickBot="1" x14ac:dyDescent="0.3">
      <c r="B162" s="431" t="s">
        <v>283</v>
      </c>
      <c r="C162" s="30"/>
      <c r="D162" s="22">
        <f>SUM(D155:D161)</f>
        <v>1842693.6833333333</v>
      </c>
      <c r="E162" s="58"/>
      <c r="F162" s="63"/>
      <c r="G162" s="40"/>
      <c r="H162" s="40"/>
    </row>
    <row r="163" spans="1:19" ht="14.4" outlineLevel="1" thickTop="1" x14ac:dyDescent="0.25">
      <c r="F163" s="40"/>
      <c r="G163" s="40"/>
      <c r="H163" s="40"/>
    </row>
    <row r="164" spans="1:19" outlineLevel="1" x14ac:dyDescent="0.25">
      <c r="F164" s="40"/>
      <c r="G164" s="40"/>
      <c r="H164" s="40"/>
    </row>
    <row r="165" spans="1:19" outlineLevel="1" x14ac:dyDescent="0.25">
      <c r="F165" s="40"/>
      <c r="G165" s="40"/>
      <c r="H165" s="40"/>
    </row>
    <row r="166" spans="1:19" outlineLevel="1" x14ac:dyDescent="0.25">
      <c r="B166" s="2" t="s">
        <v>230</v>
      </c>
    </row>
    <row r="167" spans="1:19" outlineLevel="1" x14ac:dyDescent="0.25">
      <c r="B167" s="2"/>
    </row>
    <row r="168" spans="1:19" ht="21" outlineLevel="1" x14ac:dyDescent="0.25">
      <c r="B168" s="184" t="s">
        <v>31</v>
      </c>
      <c r="C168" s="184" t="s">
        <v>285</v>
      </c>
      <c r="D168" s="184" t="s">
        <v>284</v>
      </c>
    </row>
    <row r="169" spans="1:19" outlineLevel="1" x14ac:dyDescent="0.25">
      <c r="B169" s="437" t="s">
        <v>286</v>
      </c>
      <c r="C169" s="151">
        <v>1200000</v>
      </c>
      <c r="D169" s="24">
        <f>C169/$C$177</f>
        <v>0.5</v>
      </c>
      <c r="S169" s="19" t="s">
        <v>21</v>
      </c>
    </row>
    <row r="170" spans="1:19" ht="14.4" outlineLevel="1" thickBot="1" x14ac:dyDescent="0.3">
      <c r="B170" s="443" t="s">
        <v>104</v>
      </c>
      <c r="C170" s="444">
        <v>400000</v>
      </c>
      <c r="D170" s="445">
        <f>C170/$C$177</f>
        <v>0.16666666666666666</v>
      </c>
      <c r="S170" s="19">
        <v>1</v>
      </c>
    </row>
    <row r="171" spans="1:19" outlineLevel="1" x14ac:dyDescent="0.25">
      <c r="B171" s="440" t="s">
        <v>36</v>
      </c>
      <c r="C171" s="441">
        <v>800000</v>
      </c>
      <c r="D171" s="442">
        <f>C171/$C$177</f>
        <v>0.33333333333333331</v>
      </c>
      <c r="E171" s="433"/>
      <c r="F171" s="434"/>
      <c r="S171" s="19"/>
    </row>
    <row r="172" spans="1:19" outlineLevel="1" x14ac:dyDescent="0.25">
      <c r="B172" s="438" t="s">
        <v>59</v>
      </c>
      <c r="C172" s="187">
        <v>6</v>
      </c>
      <c r="E172" s="433"/>
      <c r="F172" s="434"/>
      <c r="S172" s="19"/>
    </row>
    <row r="173" spans="1:19" outlineLevel="1" x14ac:dyDescent="0.25">
      <c r="B173" s="439" t="s">
        <v>181</v>
      </c>
      <c r="C173" s="186">
        <v>0.04</v>
      </c>
      <c r="E173" s="433"/>
      <c r="F173" s="434"/>
      <c r="S173" s="19"/>
    </row>
    <row r="174" spans="1:19" outlineLevel="1" x14ac:dyDescent="0.25">
      <c r="E174" s="433"/>
      <c r="F174" s="434"/>
      <c r="S174" s="19"/>
    </row>
    <row r="175" spans="1:19" ht="14.25" customHeight="1" outlineLevel="1" x14ac:dyDescent="0.25">
      <c r="A175" s="1"/>
      <c r="B175" s="435" t="s">
        <v>239</v>
      </c>
      <c r="C175" s="62">
        <f>C169+C170</f>
        <v>1600000</v>
      </c>
      <c r="D175" s="24">
        <f>C175/C177</f>
        <v>0.66666666666666663</v>
      </c>
      <c r="F175" s="19"/>
      <c r="H175" s="206"/>
      <c r="I175" s="206"/>
      <c r="J175" s="206"/>
      <c r="K175" s="206"/>
      <c r="L175" s="206"/>
      <c r="M175" s="206"/>
      <c r="N175" s="206"/>
      <c r="S175" s="19"/>
    </row>
    <row r="176" spans="1:19" outlineLevel="1" x14ac:dyDescent="0.25">
      <c r="A176" s="1"/>
      <c r="B176" s="435" t="s">
        <v>69</v>
      </c>
      <c r="C176" s="62">
        <f>C171</f>
        <v>800000</v>
      </c>
      <c r="D176" s="24">
        <f>C176/C177</f>
        <v>0.33333333333333331</v>
      </c>
      <c r="E176" s="55"/>
      <c r="F176" s="29">
        <f>IF($C$171=0,0,C171/C172)</f>
        <v>133333.33333333334</v>
      </c>
      <c r="H176" s="206"/>
      <c r="I176" s="206"/>
      <c r="J176" s="206"/>
      <c r="K176" s="206"/>
      <c r="L176" s="206"/>
      <c r="M176" s="206"/>
      <c r="N176" s="206"/>
      <c r="S176" s="19">
        <v>3</v>
      </c>
    </row>
    <row r="177" spans="1:19" outlineLevel="1" x14ac:dyDescent="0.25">
      <c r="B177" s="436" t="s">
        <v>287</v>
      </c>
      <c r="C177" s="4">
        <f>SUM(C175:C176)</f>
        <v>2400000</v>
      </c>
      <c r="D177" s="55"/>
      <c r="E177" s="55"/>
      <c r="F177" s="29"/>
      <c r="H177" s="206"/>
      <c r="I177" s="206"/>
      <c r="J177" s="206"/>
      <c r="K177" s="206"/>
      <c r="L177" s="206"/>
      <c r="M177" s="206"/>
      <c r="N177" s="206"/>
      <c r="S177" s="19"/>
    </row>
    <row r="178" spans="1:19" ht="14.4" outlineLevel="1" thickBot="1" x14ac:dyDescent="0.3">
      <c r="B178" s="485"/>
      <c r="C178" s="485"/>
      <c r="D178" s="13"/>
      <c r="E178" s="13"/>
      <c r="F178" s="64"/>
      <c r="G178" s="40"/>
      <c r="H178" s="40"/>
    </row>
    <row r="179" spans="1:19" ht="35.1" customHeight="1" outlineLevel="1" thickBot="1" x14ac:dyDescent="0.3">
      <c r="B179" s="488" t="str">
        <f>IF(C177-D162&gt;0,"مبلغ التمويل  اكبر من المقترح بقيمة ","مبلغ التمويل اقل من المقترح ويفضل زيادة التمويل بقيمة لا تقل عن")</f>
        <v xml:space="preserve">مبلغ التمويل  اكبر من المقترح بقيمة </v>
      </c>
      <c r="C179" s="489"/>
      <c r="D179" s="136">
        <f>IF(C177-D162&gt;0,C177-D162,-(C177-D162))</f>
        <v>557306.31666666665</v>
      </c>
      <c r="E179" s="432"/>
      <c r="F179" s="64"/>
      <c r="H179" s="40"/>
    </row>
    <row r="180" spans="1:19" outlineLevel="1" x14ac:dyDescent="0.25">
      <c r="D180" s="2"/>
      <c r="E180" s="2"/>
      <c r="F180" s="65"/>
      <c r="G180" s="40"/>
      <c r="H180" s="40"/>
    </row>
    <row r="181" spans="1:19" outlineLevel="1" x14ac:dyDescent="0.25">
      <c r="F181" s="40"/>
      <c r="G181" s="40"/>
      <c r="H181" s="206"/>
      <c r="I181" s="206"/>
      <c r="J181" s="206"/>
      <c r="K181" s="206"/>
      <c r="L181" s="206"/>
      <c r="M181" s="206"/>
      <c r="N181" s="206"/>
    </row>
    <row r="182" spans="1:19" s="21" customFormat="1" ht="18" customHeight="1" thickBot="1" x14ac:dyDescent="0.3">
      <c r="A182" s="152"/>
      <c r="B182" s="153"/>
      <c r="C182" s="153"/>
      <c r="D182" s="153"/>
      <c r="E182" s="207"/>
      <c r="F182" s="207"/>
      <c r="G182" s="207"/>
      <c r="H182" s="207"/>
      <c r="I182" s="207"/>
      <c r="J182" s="207"/>
      <c r="K182" s="207"/>
      <c r="P182" s="208"/>
      <c r="Q182" s="209">
        <v>6</v>
      </c>
    </row>
    <row r="183" spans="1:19" s="21" customFormat="1" ht="22.5" customHeight="1" thickTop="1" x14ac:dyDescent="0.25">
      <c r="A183" s="146"/>
      <c r="B183" s="146" t="s">
        <v>193</v>
      </c>
      <c r="C183" s="147"/>
      <c r="D183" s="147"/>
      <c r="E183" s="147"/>
      <c r="F183" s="147"/>
      <c r="G183" s="147"/>
      <c r="H183" s="147"/>
      <c r="I183" s="147"/>
      <c r="J183" s="147"/>
      <c r="K183" s="147"/>
      <c r="Q183" s="209"/>
    </row>
    <row r="184" spans="1:19" s="21" customFormat="1" ht="1.5" customHeight="1" x14ac:dyDescent="0.25">
      <c r="A184" s="210"/>
      <c r="B184" s="210"/>
      <c r="C184" s="211"/>
      <c r="D184" s="211"/>
      <c r="E184" s="211"/>
      <c r="F184" s="211"/>
      <c r="G184" s="211"/>
      <c r="H184" s="211"/>
      <c r="I184" s="211"/>
      <c r="J184" s="211"/>
      <c r="K184" s="211"/>
    </row>
    <row r="185" spans="1:19" s="21" customFormat="1" ht="1.5" customHeight="1" x14ac:dyDescent="0.25">
      <c r="A185" s="212"/>
      <c r="B185" s="212"/>
      <c r="C185" s="213"/>
      <c r="D185" s="213"/>
      <c r="E185" s="213"/>
      <c r="F185" s="213"/>
      <c r="G185" s="213"/>
      <c r="H185" s="213"/>
      <c r="I185" s="213"/>
      <c r="J185" s="213"/>
      <c r="K185" s="213"/>
    </row>
    <row r="186" spans="1:19" s="21" customFormat="1" ht="1.5" customHeight="1" x14ac:dyDescent="0.25">
      <c r="A186" s="214"/>
      <c r="B186" s="214"/>
      <c r="C186" s="215"/>
      <c r="D186" s="215"/>
      <c r="E186" s="215"/>
      <c r="F186" s="215"/>
      <c r="G186" s="215"/>
      <c r="H186" s="215"/>
      <c r="I186" s="215"/>
      <c r="J186" s="215"/>
      <c r="K186" s="215"/>
    </row>
    <row r="187" spans="1:19" s="21" customFormat="1" ht="1.5" customHeight="1" x14ac:dyDescent="0.25">
      <c r="A187" s="216"/>
      <c r="B187" s="216"/>
      <c r="C187" s="217"/>
      <c r="D187" s="217"/>
      <c r="E187" s="217"/>
      <c r="F187" s="217"/>
      <c r="G187" s="217"/>
      <c r="H187" s="217"/>
      <c r="I187" s="217"/>
      <c r="J187" s="217"/>
      <c r="K187" s="217"/>
    </row>
    <row r="188" spans="1:19" s="21" customFormat="1" ht="1.5" customHeight="1" x14ac:dyDescent="0.25">
      <c r="A188" s="218"/>
      <c r="B188" s="218"/>
      <c r="C188" s="219"/>
      <c r="D188" s="219"/>
      <c r="E188" s="219"/>
      <c r="F188" s="219"/>
      <c r="G188" s="219"/>
      <c r="H188" s="219"/>
      <c r="I188" s="219"/>
      <c r="J188" s="219"/>
      <c r="K188" s="219"/>
    </row>
    <row r="189" spans="1:19" s="21" customFormat="1" ht="1.5" customHeight="1" x14ac:dyDescent="0.25">
      <c r="A189" s="220"/>
      <c r="B189" s="220"/>
      <c r="C189" s="221"/>
      <c r="D189" s="221"/>
      <c r="E189" s="221"/>
      <c r="F189" s="221"/>
      <c r="G189" s="221"/>
      <c r="H189" s="221"/>
      <c r="I189" s="221"/>
      <c r="J189" s="221"/>
      <c r="K189" s="221"/>
    </row>
    <row r="190" spans="1:19" x14ac:dyDescent="0.25">
      <c r="F190" s="40"/>
      <c r="G190" s="40"/>
      <c r="H190" s="40"/>
    </row>
    <row r="194" spans="1:16" s="21" customFormat="1" ht="14.4" x14ac:dyDescent="0.25">
      <c r="A194" s="192"/>
      <c r="H194" s="193"/>
      <c r="I194" s="193"/>
    </row>
    <row r="195" spans="1:16" s="21" customFormat="1" ht="21" hidden="1" x14ac:dyDescent="0.25">
      <c r="A195" s="192"/>
      <c r="B195" s="476" t="s">
        <v>182</v>
      </c>
      <c r="C195" s="477"/>
      <c r="D195" s="477"/>
      <c r="E195" s="477"/>
    </row>
    <row r="196" spans="1:16" s="21" customFormat="1" ht="14.4" hidden="1" x14ac:dyDescent="0.25">
      <c r="A196" s="192"/>
      <c r="B196" s="194" t="s">
        <v>183</v>
      </c>
      <c r="C196" s="195"/>
      <c r="D196" s="195"/>
      <c r="E196" s="195"/>
    </row>
    <row r="197" spans="1:16" s="21" customFormat="1" ht="14.4" hidden="1" x14ac:dyDescent="0.25">
      <c r="A197" s="192"/>
      <c r="B197" s="21" t="s">
        <v>184</v>
      </c>
      <c r="C197" s="196">
        <f>+C171</f>
        <v>800000</v>
      </c>
    </row>
    <row r="198" spans="1:16" s="21" customFormat="1" ht="14.4" hidden="1" x14ac:dyDescent="0.25">
      <c r="A198" s="192"/>
      <c r="B198" s="21" t="s">
        <v>185</v>
      </c>
      <c r="C198" s="196">
        <f>+C172</f>
        <v>6</v>
      </c>
    </row>
    <row r="199" spans="1:16" s="21" customFormat="1" ht="14.4" hidden="1" x14ac:dyDescent="0.25">
      <c r="A199" s="192"/>
      <c r="B199" s="21" t="s">
        <v>186</v>
      </c>
      <c r="C199" s="197">
        <f>+C173</f>
        <v>0.04</v>
      </c>
    </row>
    <row r="200" spans="1:16" s="21" customFormat="1" ht="14.4" hidden="1" x14ac:dyDescent="0.25">
      <c r="A200" s="192"/>
      <c r="B200" s="198" t="s">
        <v>187</v>
      </c>
      <c r="C200" s="199">
        <f>C218</f>
        <v>115657.17203817923</v>
      </c>
    </row>
    <row r="201" spans="1:16" s="21" customFormat="1" ht="14.4" hidden="1" x14ac:dyDescent="0.25">
      <c r="A201" s="192"/>
      <c r="B201" s="198" t="s">
        <v>6</v>
      </c>
      <c r="C201" s="199">
        <f>B218</f>
        <v>915657.13203817944</v>
      </c>
    </row>
    <row r="202" spans="1:16" s="21" customFormat="1" ht="14.4" hidden="1" x14ac:dyDescent="0.25">
      <c r="A202" s="192"/>
      <c r="B202" s="198" t="s">
        <v>188</v>
      </c>
      <c r="C202" s="199">
        <f>IFERROR(PMT(C199,C198,C197),0)</f>
        <v>-152609.52200636323</v>
      </c>
    </row>
    <row r="203" spans="1:16" s="21" customFormat="1" ht="14.4" hidden="1" x14ac:dyDescent="0.25">
      <c r="A203" s="192"/>
    </row>
    <row r="204" spans="1:16" s="21" customFormat="1" ht="15" hidden="1" thickBot="1" x14ac:dyDescent="0.3">
      <c r="A204" s="192"/>
      <c r="B204" s="200" t="s">
        <v>189</v>
      </c>
      <c r="C204" s="200" t="s">
        <v>190</v>
      </c>
      <c r="D204" s="200" t="s">
        <v>191</v>
      </c>
      <c r="E204" s="200" t="s">
        <v>192</v>
      </c>
      <c r="P204" s="201"/>
    </row>
    <row r="205" spans="1:16" s="21" customFormat="1" ht="14.4" hidden="1" x14ac:dyDescent="0.25">
      <c r="A205" s="192"/>
      <c r="B205" s="118">
        <v>0</v>
      </c>
      <c r="C205" s="202">
        <f>+C199</f>
        <v>0.04</v>
      </c>
      <c r="D205" s="118">
        <f>+B205</f>
        <v>0</v>
      </c>
      <c r="E205" s="118">
        <f>+C197</f>
        <v>800000</v>
      </c>
      <c r="P205" s="201"/>
    </row>
    <row r="206" spans="1:16" s="21" customFormat="1" ht="14.4" hidden="1" x14ac:dyDescent="0.25">
      <c r="A206" s="192">
        <v>1</v>
      </c>
      <c r="B206" s="118">
        <f>-+C202</f>
        <v>152609.52200636323</v>
      </c>
      <c r="C206" s="118">
        <f>+$C$205*E205</f>
        <v>32000</v>
      </c>
      <c r="D206" s="118">
        <f>+B206-C206</f>
        <v>120609.52200636323</v>
      </c>
      <c r="E206" s="118">
        <f>+E205+C206-B206</f>
        <v>679390.47799363674</v>
      </c>
      <c r="P206" s="201"/>
    </row>
    <row r="207" spans="1:16" s="21" customFormat="1" ht="14.4" hidden="1" x14ac:dyDescent="0.25">
      <c r="A207" s="192">
        <v>2</v>
      </c>
      <c r="B207" s="118">
        <f t="shared" ref="B207:B215" si="8">IF(ROUND(C207,0)=0,0,+B206)</f>
        <v>152609.52200636323</v>
      </c>
      <c r="C207" s="118">
        <f t="shared" ref="C207:C215" si="9">+$C$205*E206</f>
        <v>27175.619119745472</v>
      </c>
      <c r="D207" s="118">
        <f t="shared" ref="D207:D215" si="10">+B207-C207</f>
        <v>125433.90288661775</v>
      </c>
      <c r="E207" s="118">
        <f t="shared" ref="E207:E215" si="11">IF(ROUND(E206,0)=0,0,+E206+C207-B207)</f>
        <v>553956.57510701893</v>
      </c>
      <c r="P207" s="201"/>
    </row>
    <row r="208" spans="1:16" s="21" customFormat="1" ht="14.4" hidden="1" x14ac:dyDescent="0.25">
      <c r="A208" s="192">
        <v>3</v>
      </c>
      <c r="B208" s="118">
        <f t="shared" si="8"/>
        <v>152609.52200636323</v>
      </c>
      <c r="C208" s="118">
        <f t="shared" si="9"/>
        <v>22158.263004280758</v>
      </c>
      <c r="D208" s="118">
        <f t="shared" si="10"/>
        <v>130451.25900208247</v>
      </c>
      <c r="E208" s="118">
        <f t="shared" si="11"/>
        <v>423505.31610493641</v>
      </c>
    </row>
    <row r="209" spans="1:11" s="21" customFormat="1" ht="14.4" hidden="1" x14ac:dyDescent="0.25">
      <c r="A209" s="192">
        <v>4</v>
      </c>
      <c r="B209" s="118">
        <f t="shared" si="8"/>
        <v>152609.52200636323</v>
      </c>
      <c r="C209" s="118">
        <f t="shared" si="9"/>
        <v>16940.212644197458</v>
      </c>
      <c r="D209" s="118">
        <f t="shared" si="10"/>
        <v>135669.30936216578</v>
      </c>
      <c r="E209" s="118">
        <f t="shared" si="11"/>
        <v>287836.00674277067</v>
      </c>
    </row>
    <row r="210" spans="1:11" s="21" customFormat="1" ht="14.4" hidden="1" x14ac:dyDescent="0.25">
      <c r="A210" s="192">
        <v>5</v>
      </c>
      <c r="B210" s="118">
        <f t="shared" si="8"/>
        <v>152609.52200636323</v>
      </c>
      <c r="C210" s="118">
        <f t="shared" si="9"/>
        <v>11513.440269710827</v>
      </c>
      <c r="D210" s="118">
        <f t="shared" si="10"/>
        <v>141096.08173665241</v>
      </c>
      <c r="E210" s="118">
        <f t="shared" si="11"/>
        <v>146739.92500611828</v>
      </c>
    </row>
    <row r="211" spans="1:11" s="21" customFormat="1" ht="14.4" hidden="1" x14ac:dyDescent="0.25">
      <c r="A211" s="192">
        <v>6</v>
      </c>
      <c r="B211" s="118">
        <f t="shared" si="8"/>
        <v>152609.52200636323</v>
      </c>
      <c r="C211" s="118">
        <f t="shared" si="9"/>
        <v>5869.5970002447311</v>
      </c>
      <c r="D211" s="118">
        <f t="shared" si="10"/>
        <v>146739.92500611849</v>
      </c>
      <c r="E211" s="118">
        <f t="shared" si="11"/>
        <v>-2.0372681319713593E-10</v>
      </c>
    </row>
    <row r="212" spans="1:11" s="21" customFormat="1" ht="14.4" hidden="1" x14ac:dyDescent="0.25">
      <c r="A212" s="192">
        <v>7</v>
      </c>
      <c r="B212" s="118">
        <f t="shared" si="8"/>
        <v>0</v>
      </c>
      <c r="C212" s="118">
        <f t="shared" si="9"/>
        <v>-8.1490725278854378E-12</v>
      </c>
      <c r="D212" s="118">
        <f t="shared" si="10"/>
        <v>8.1490725278854378E-12</v>
      </c>
      <c r="E212" s="118">
        <f t="shared" si="11"/>
        <v>0</v>
      </c>
    </row>
    <row r="213" spans="1:11" s="21" customFormat="1" ht="14.4" hidden="1" x14ac:dyDescent="0.25">
      <c r="A213" s="192">
        <v>8</v>
      </c>
      <c r="B213" s="118">
        <f t="shared" si="8"/>
        <v>0</v>
      </c>
      <c r="C213" s="118">
        <f t="shared" si="9"/>
        <v>0</v>
      </c>
      <c r="D213" s="118">
        <f t="shared" si="10"/>
        <v>0</v>
      </c>
      <c r="E213" s="118">
        <f t="shared" si="11"/>
        <v>0</v>
      </c>
    </row>
    <row r="214" spans="1:11" s="21" customFormat="1" ht="14.4" hidden="1" x14ac:dyDescent="0.25">
      <c r="A214" s="192">
        <v>9</v>
      </c>
      <c r="B214" s="118">
        <f t="shared" si="8"/>
        <v>0</v>
      </c>
      <c r="C214" s="118">
        <f t="shared" si="9"/>
        <v>0</v>
      </c>
      <c r="D214" s="118">
        <f t="shared" si="10"/>
        <v>0</v>
      </c>
      <c r="E214" s="118">
        <f t="shared" si="11"/>
        <v>0</v>
      </c>
    </row>
    <row r="215" spans="1:11" s="21" customFormat="1" ht="14.4" hidden="1" x14ac:dyDescent="0.25">
      <c r="A215" s="192">
        <v>10</v>
      </c>
      <c r="B215" s="118">
        <f t="shared" si="8"/>
        <v>0</v>
      </c>
      <c r="C215" s="118">
        <f t="shared" si="9"/>
        <v>0</v>
      </c>
      <c r="D215" s="118">
        <f t="shared" si="10"/>
        <v>0</v>
      </c>
      <c r="E215" s="118">
        <f t="shared" si="11"/>
        <v>0</v>
      </c>
    </row>
    <row r="216" spans="1:11" s="21" customFormat="1" ht="14.4" hidden="1" x14ac:dyDescent="0.25">
      <c r="A216" s="192"/>
    </row>
    <row r="217" spans="1:11" s="21" customFormat="1" ht="14.4" hidden="1" x14ac:dyDescent="0.25">
      <c r="A217" s="192"/>
    </row>
    <row r="218" spans="1:11" s="21" customFormat="1" ht="14.4" hidden="1" x14ac:dyDescent="0.25">
      <c r="A218" s="192"/>
      <c r="B218" s="203">
        <f>SUM(B205:B217)</f>
        <v>915657.13203817944</v>
      </c>
      <c r="C218" s="203">
        <f>SUM(C205:C217)</f>
        <v>115657.17203817923</v>
      </c>
      <c r="D218" s="203">
        <f>SUM(D205:D217)</f>
        <v>800000.00000000012</v>
      </c>
    </row>
    <row r="219" spans="1:11" s="21" customFormat="1" ht="14.4" hidden="1" x14ac:dyDescent="0.25">
      <c r="A219" s="192"/>
    </row>
    <row r="220" spans="1:11" s="21" customFormat="1" ht="14.4" hidden="1" x14ac:dyDescent="0.25">
      <c r="A220" s="192"/>
    </row>
    <row r="221" spans="1:11" s="21" customFormat="1" ht="14.4" hidden="1" x14ac:dyDescent="0.25">
      <c r="A221" s="192"/>
    </row>
    <row r="222" spans="1:11" s="21" customFormat="1" ht="14.4" hidden="1" x14ac:dyDescent="0.25">
      <c r="A222" s="192"/>
      <c r="B222" s="204">
        <v>1</v>
      </c>
      <c r="C222" s="204">
        <v>2</v>
      </c>
      <c r="D222" s="204">
        <v>3</v>
      </c>
      <c r="E222" s="204">
        <v>4</v>
      </c>
      <c r="F222" s="204">
        <v>5</v>
      </c>
      <c r="G222" s="204">
        <v>6</v>
      </c>
      <c r="H222" s="204">
        <v>7</v>
      </c>
      <c r="I222" s="204">
        <v>8</v>
      </c>
      <c r="J222" s="204">
        <v>9</v>
      </c>
      <c r="K222" s="204">
        <v>10</v>
      </c>
    </row>
    <row r="223" spans="1:11" s="21" customFormat="1" ht="14.4" hidden="1" x14ac:dyDescent="0.25">
      <c r="A223" s="192"/>
      <c r="B223" s="205">
        <f>VLOOKUP(B222,$A$206:$D$215,4,0)</f>
        <v>120609.52200636323</v>
      </c>
      <c r="C223" s="205">
        <f t="shared" ref="C223:K223" si="12">VLOOKUP(C222,$A$206:$D$215,4,0)</f>
        <v>125433.90288661775</v>
      </c>
      <c r="D223" s="205">
        <f t="shared" si="12"/>
        <v>130451.25900208247</v>
      </c>
      <c r="E223" s="205">
        <f t="shared" si="12"/>
        <v>135669.30936216578</v>
      </c>
      <c r="F223" s="205">
        <f t="shared" si="12"/>
        <v>141096.08173665241</v>
      </c>
      <c r="G223" s="205">
        <f>VLOOKUP(G222,$A$206:$D$215,4,0)</f>
        <v>146739.92500611849</v>
      </c>
      <c r="H223" s="205">
        <f t="shared" si="12"/>
        <v>8.1490725278854378E-12</v>
      </c>
      <c r="I223" s="205">
        <f t="shared" si="12"/>
        <v>0</v>
      </c>
      <c r="J223" s="205">
        <f t="shared" si="12"/>
        <v>0</v>
      </c>
      <c r="K223" s="205">
        <f t="shared" si="12"/>
        <v>0</v>
      </c>
    </row>
    <row r="224" spans="1:11" s="21" customFormat="1" ht="14.4" hidden="1" x14ac:dyDescent="0.25">
      <c r="A224" s="192"/>
    </row>
    <row r="225" spans="1:1" s="21" customFormat="1" ht="14.4" hidden="1" x14ac:dyDescent="0.25">
      <c r="A225" s="192"/>
    </row>
    <row r="226" spans="1:1" s="21" customFormat="1" ht="14.4" hidden="1" x14ac:dyDescent="0.25">
      <c r="A226" s="192"/>
    </row>
    <row r="227" spans="1:1" s="21" customFormat="1" ht="14.4" x14ac:dyDescent="0.25">
      <c r="A227" s="192"/>
    </row>
    <row r="228" spans="1:1" s="21" customFormat="1" ht="14.4" x14ac:dyDescent="0.25">
      <c r="A228" s="192"/>
    </row>
    <row r="229" spans="1:1" s="21" customFormat="1" ht="14.25" customHeight="1" x14ac:dyDescent="0.25">
      <c r="A229" s="192"/>
    </row>
    <row r="230" spans="1:1" s="21" customFormat="1" ht="14.25" customHeight="1" x14ac:dyDescent="0.25">
      <c r="A230" s="192"/>
    </row>
  </sheetData>
  <sheetProtection formatCells="0" formatColumns="0" formatRows="0" sort="0" autoFilter="0" pivotTables="0"/>
  <mergeCells count="26">
    <mergeCell ref="C102:C103"/>
    <mergeCell ref="B78:I78"/>
    <mergeCell ref="B47:I56"/>
    <mergeCell ref="I2:I3"/>
    <mergeCell ref="B19:E19"/>
    <mergeCell ref="F19:K19"/>
    <mergeCell ref="B18:K18"/>
    <mergeCell ref="B6:G15"/>
    <mergeCell ref="E58:I58"/>
    <mergeCell ref="B58:D58"/>
    <mergeCell ref="B195:E195"/>
    <mergeCell ref="B74:H75"/>
    <mergeCell ref="B109:G109"/>
    <mergeCell ref="B142:D142"/>
    <mergeCell ref="B112:B114"/>
    <mergeCell ref="B115:B117"/>
    <mergeCell ref="B118:B120"/>
    <mergeCell ref="B121:B122"/>
    <mergeCell ref="B178:C178"/>
    <mergeCell ref="B152:K152"/>
    <mergeCell ref="B153:D153"/>
    <mergeCell ref="B179:C179"/>
    <mergeCell ref="B143:H144"/>
    <mergeCell ref="C104:C105"/>
    <mergeCell ref="C98:C99"/>
    <mergeCell ref="C100:C101"/>
  </mergeCells>
  <phoneticPr fontId="43" type="noConversion"/>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9" filterMode="1">
    <tabColor rgb="FF00B050"/>
  </sheetPr>
  <dimension ref="A1:BN507"/>
  <sheetViews>
    <sheetView showGridLines="0" rightToLeft="1" zoomScale="85" zoomScaleNormal="85" zoomScaleSheetLayoutView="70" workbookViewId="0">
      <selection activeCell="M2" sqref="M2"/>
    </sheetView>
  </sheetViews>
  <sheetFormatPr defaultColWidth="4.3984375" defaultRowHeight="13.8" zeroHeight="1" x14ac:dyDescent="0.25"/>
  <cols>
    <col min="1" max="1" width="4.3984375" style="66"/>
    <col min="2" max="2" width="4.69921875" style="71" customWidth="1"/>
    <col min="3" max="3" width="2" style="66" customWidth="1"/>
    <col min="4" max="4" width="3.69921875" style="66" customWidth="1"/>
    <col min="5" max="5" width="3.8984375" style="66" customWidth="1"/>
    <col min="6" max="6" width="15.69921875" style="66" customWidth="1"/>
    <col min="7" max="7" width="14.3984375" style="66" customWidth="1"/>
    <col min="8" max="8" width="19.3984375" style="66" bestFit="1" customWidth="1"/>
    <col min="9" max="9" width="15.3984375" style="67" bestFit="1" customWidth="1"/>
    <col min="10" max="14" width="18.09765625" style="66" bestFit="1" customWidth="1"/>
    <col min="15" max="15" width="16.3984375" style="66" bestFit="1" customWidth="1"/>
    <col min="16" max="16" width="3.3984375" style="72" customWidth="1"/>
    <col min="17" max="17" width="7.3984375" style="69" bestFit="1" customWidth="1"/>
    <col min="18" max="19" width="1" style="69" customWidth="1"/>
    <col min="20" max="20" width="14.09765625" style="69" bestFit="1" customWidth="1"/>
    <col min="21" max="21" width="17.296875" style="69" bestFit="1" customWidth="1"/>
    <col min="22" max="24" width="9.69921875" style="69" bestFit="1" customWidth="1"/>
    <col min="25" max="25" width="10.09765625" style="70" bestFit="1" customWidth="1"/>
    <col min="26" max="27" width="11.3984375" style="70" bestFit="1" customWidth="1"/>
    <col min="28" max="28" width="11.3984375" style="70" customWidth="1"/>
    <col min="29" max="29" width="8.09765625" style="70" bestFit="1" customWidth="1"/>
    <col min="30" max="66" width="4.3984375" style="70"/>
    <col min="67" max="16384" width="4.3984375" style="66"/>
  </cols>
  <sheetData>
    <row r="1" spans="2:40" ht="49.5" customHeight="1" x14ac:dyDescent="0.25">
      <c r="B1" s="66"/>
      <c r="I1" s="87"/>
      <c r="J1" s="87"/>
      <c r="K1" s="87"/>
      <c r="L1" s="87"/>
      <c r="M1" s="87"/>
      <c r="N1" s="87"/>
      <c r="O1" s="87"/>
      <c r="P1" s="68"/>
      <c r="Q1" s="100" t="s">
        <v>129</v>
      </c>
      <c r="R1" s="95"/>
      <c r="S1" s="95"/>
      <c r="T1" s="81"/>
      <c r="U1" s="81">
        <f>IF('بيانات الدراسة'!D17=0,1,'بيانات الدراسة'!D17)</f>
        <v>1</v>
      </c>
      <c r="V1" s="81"/>
      <c r="W1" s="81"/>
      <c r="X1" s="81"/>
      <c r="Y1" s="82"/>
      <c r="Z1" s="82"/>
      <c r="AA1" s="82"/>
      <c r="AB1" s="82"/>
      <c r="AC1" s="82"/>
      <c r="AD1" s="82"/>
      <c r="AE1" s="82"/>
      <c r="AF1" s="82"/>
      <c r="AG1" s="82"/>
      <c r="AH1" s="82"/>
      <c r="AI1" s="82"/>
      <c r="AJ1" s="82"/>
      <c r="AK1" s="82"/>
      <c r="AL1" s="82"/>
      <c r="AM1" s="82"/>
      <c r="AN1" s="82"/>
    </row>
    <row r="2" spans="2:40" x14ac:dyDescent="0.25">
      <c r="B2" s="71" t="s">
        <v>32</v>
      </c>
      <c r="Q2" s="94" t="s">
        <v>130</v>
      </c>
      <c r="R2" s="81"/>
      <c r="S2" s="81"/>
      <c r="T2" s="81"/>
      <c r="U2" s="81"/>
      <c r="V2" s="81"/>
      <c r="W2" s="81"/>
      <c r="X2" s="81"/>
      <c r="Y2" s="82"/>
      <c r="Z2" s="82"/>
      <c r="AA2" s="82"/>
      <c r="AB2" s="82"/>
      <c r="AC2" s="82"/>
      <c r="AD2" s="82"/>
      <c r="AE2" s="82"/>
      <c r="AF2" s="82"/>
      <c r="AG2" s="82"/>
      <c r="AH2" s="82"/>
      <c r="AI2" s="82"/>
      <c r="AJ2" s="82"/>
      <c r="AK2" s="82"/>
      <c r="AL2" s="82"/>
      <c r="AM2" s="82"/>
      <c r="AN2" s="82"/>
    </row>
    <row r="3" spans="2:40" x14ac:dyDescent="0.25">
      <c r="B3" s="71" t="s">
        <v>32</v>
      </c>
      <c r="Q3" s="94" t="s">
        <v>130</v>
      </c>
      <c r="R3" s="81"/>
      <c r="S3" s="81"/>
      <c r="T3" s="81"/>
      <c r="U3" s="81"/>
      <c r="V3" s="81"/>
      <c r="W3" s="81"/>
      <c r="X3" s="81"/>
      <c r="Y3" s="82"/>
      <c r="Z3" s="82"/>
      <c r="AA3" s="82"/>
      <c r="AB3" s="82"/>
      <c r="AC3" s="82"/>
      <c r="AD3" s="82"/>
      <c r="AE3" s="82"/>
      <c r="AF3" s="82"/>
      <c r="AG3" s="82"/>
      <c r="AH3" s="82"/>
      <c r="AI3" s="82"/>
      <c r="AJ3" s="82"/>
      <c r="AK3" s="82"/>
      <c r="AL3" s="82"/>
      <c r="AM3" s="82"/>
      <c r="AN3" s="82"/>
    </row>
    <row r="4" spans="2:40" x14ac:dyDescent="0.25">
      <c r="B4" s="71" t="s">
        <v>32</v>
      </c>
      <c r="Q4" s="94" t="s">
        <v>130</v>
      </c>
      <c r="R4" s="81"/>
      <c r="S4" s="81"/>
      <c r="T4" s="81"/>
      <c r="U4" s="81"/>
      <c r="V4" s="81"/>
      <c r="W4" s="81"/>
      <c r="X4" s="81"/>
      <c r="Y4" s="82"/>
      <c r="Z4" s="82"/>
      <c r="AA4" s="82"/>
      <c r="AB4" s="82"/>
      <c r="AC4" s="82"/>
      <c r="AD4" s="82"/>
      <c r="AE4" s="82"/>
      <c r="AF4" s="82"/>
      <c r="AG4" s="82"/>
      <c r="AH4" s="82"/>
      <c r="AI4" s="82"/>
      <c r="AJ4" s="82"/>
      <c r="AK4" s="82"/>
      <c r="AL4" s="82"/>
      <c r="AM4" s="82"/>
      <c r="AN4" s="82"/>
    </row>
    <row r="5" spans="2:40" x14ac:dyDescent="0.25">
      <c r="B5" s="71" t="s">
        <v>32</v>
      </c>
      <c r="Q5" s="94" t="s">
        <v>130</v>
      </c>
      <c r="R5" s="81"/>
      <c r="S5" s="81"/>
      <c r="T5" s="81"/>
      <c r="U5" s="81"/>
      <c r="V5" s="81"/>
      <c r="W5" s="81"/>
      <c r="X5" s="81"/>
      <c r="Y5" s="82"/>
      <c r="Z5" s="82"/>
      <c r="AA5" s="82"/>
      <c r="AB5" s="82"/>
      <c r="AC5" s="82"/>
      <c r="AD5" s="82"/>
      <c r="AE5" s="82"/>
      <c r="AF5" s="82"/>
      <c r="AG5" s="82"/>
      <c r="AH5" s="82"/>
      <c r="AI5" s="82"/>
      <c r="AJ5" s="82"/>
      <c r="AK5" s="82"/>
      <c r="AL5" s="82"/>
      <c r="AM5" s="82"/>
      <c r="AN5" s="82"/>
    </row>
    <row r="6" spans="2:40" x14ac:dyDescent="0.25">
      <c r="B6" s="71" t="s">
        <v>32</v>
      </c>
      <c r="Q6" s="94" t="s">
        <v>130</v>
      </c>
      <c r="R6" s="81"/>
      <c r="S6" s="81"/>
      <c r="T6" s="81"/>
      <c r="U6" s="81"/>
      <c r="V6" s="81"/>
      <c r="W6" s="81"/>
      <c r="X6" s="81"/>
      <c r="Y6" s="82"/>
      <c r="Z6" s="82"/>
      <c r="AA6" s="82"/>
      <c r="AB6" s="82"/>
      <c r="AC6" s="82"/>
      <c r="AD6" s="82"/>
      <c r="AE6" s="82"/>
      <c r="AF6" s="82"/>
      <c r="AG6" s="82"/>
      <c r="AH6" s="82"/>
      <c r="AI6" s="82"/>
      <c r="AJ6" s="82"/>
      <c r="AK6" s="82"/>
      <c r="AL6" s="82"/>
      <c r="AM6" s="82"/>
      <c r="AN6" s="82"/>
    </row>
    <row r="7" spans="2:40" x14ac:dyDescent="0.25">
      <c r="B7" s="71" t="s">
        <v>32</v>
      </c>
      <c r="Q7" s="94" t="s">
        <v>130</v>
      </c>
      <c r="R7" s="81"/>
      <c r="S7" s="81"/>
      <c r="T7" s="81"/>
      <c r="U7" s="81"/>
      <c r="V7" s="81"/>
      <c r="W7" s="81"/>
      <c r="X7" s="81"/>
      <c r="Y7" s="82"/>
      <c r="Z7" s="82"/>
      <c r="AA7" s="82"/>
      <c r="AB7" s="82"/>
      <c r="AC7" s="82"/>
      <c r="AD7" s="82"/>
      <c r="AE7" s="82"/>
      <c r="AF7" s="82"/>
      <c r="AG7" s="82"/>
      <c r="AH7" s="82"/>
      <c r="AI7" s="82"/>
      <c r="AJ7" s="82"/>
      <c r="AK7" s="82"/>
      <c r="AL7" s="82"/>
      <c r="AM7" s="82"/>
      <c r="AN7" s="82"/>
    </row>
    <row r="8" spans="2:40" x14ac:dyDescent="0.25">
      <c r="B8" s="71" t="s">
        <v>32</v>
      </c>
      <c r="Q8" s="94" t="s">
        <v>130</v>
      </c>
      <c r="R8" s="81"/>
      <c r="S8" s="81"/>
      <c r="T8" s="81"/>
      <c r="U8" s="81"/>
      <c r="V8" s="81"/>
      <c r="W8" s="81"/>
      <c r="X8" s="81"/>
      <c r="Y8" s="82"/>
      <c r="Z8" s="82"/>
      <c r="AA8" s="82"/>
      <c r="AB8" s="82"/>
      <c r="AC8" s="82"/>
      <c r="AD8" s="82"/>
      <c r="AE8" s="82"/>
      <c r="AF8" s="82"/>
      <c r="AG8" s="82"/>
      <c r="AH8" s="82"/>
      <c r="AI8" s="82"/>
      <c r="AJ8" s="82"/>
      <c r="AK8" s="82"/>
      <c r="AL8" s="82"/>
      <c r="AM8" s="82"/>
      <c r="AN8" s="82"/>
    </row>
    <row r="9" spans="2:40" x14ac:dyDescent="0.25">
      <c r="B9" s="71" t="s">
        <v>32</v>
      </c>
      <c r="Q9" s="94" t="s">
        <v>130</v>
      </c>
      <c r="R9" s="81"/>
      <c r="S9" s="81"/>
      <c r="T9" s="81"/>
      <c r="U9" s="81"/>
      <c r="V9" s="81"/>
      <c r="W9" s="81"/>
      <c r="X9" s="81"/>
      <c r="Y9" s="82"/>
      <c r="Z9" s="82"/>
      <c r="AA9" s="82"/>
      <c r="AB9" s="82"/>
      <c r="AC9" s="82"/>
      <c r="AD9" s="82"/>
      <c r="AE9" s="82"/>
      <c r="AF9" s="82"/>
      <c r="AG9" s="82"/>
      <c r="AH9" s="82"/>
      <c r="AI9" s="82"/>
      <c r="AJ9" s="82"/>
      <c r="AK9" s="82"/>
      <c r="AL9" s="82"/>
      <c r="AM9" s="82"/>
      <c r="AN9" s="82"/>
    </row>
    <row r="10" spans="2:40" x14ac:dyDescent="0.25">
      <c r="B10" s="71" t="s">
        <v>32</v>
      </c>
      <c r="Q10" s="94" t="s">
        <v>130</v>
      </c>
      <c r="R10" s="81"/>
      <c r="S10" s="81"/>
      <c r="T10" s="81"/>
      <c r="U10" s="81"/>
      <c r="V10" s="81"/>
      <c r="W10" s="81"/>
      <c r="X10" s="81"/>
      <c r="Y10" s="82"/>
      <c r="Z10" s="82"/>
      <c r="AA10" s="82"/>
      <c r="AB10" s="82"/>
      <c r="AC10" s="82"/>
      <c r="AD10" s="82"/>
      <c r="AE10" s="82"/>
      <c r="AF10" s="82"/>
      <c r="AG10" s="82"/>
      <c r="AH10" s="82"/>
      <c r="AI10" s="82"/>
      <c r="AJ10" s="82"/>
      <c r="AK10" s="82"/>
      <c r="AL10" s="82"/>
      <c r="AM10" s="82"/>
      <c r="AN10" s="82"/>
    </row>
    <row r="11" spans="2:40" x14ac:dyDescent="0.25">
      <c r="B11" s="71" t="s">
        <v>32</v>
      </c>
      <c r="Q11" s="94" t="s">
        <v>130</v>
      </c>
      <c r="R11" s="81"/>
      <c r="S11" s="81"/>
      <c r="T11" s="81"/>
      <c r="U11" s="81"/>
      <c r="V11" s="81"/>
      <c r="W11" s="81"/>
      <c r="X11" s="81"/>
      <c r="Y11" s="82"/>
      <c r="Z11" s="82"/>
      <c r="AA11" s="82"/>
      <c r="AB11" s="82"/>
      <c r="AC11" s="82"/>
      <c r="AD11" s="82"/>
      <c r="AE11" s="82"/>
      <c r="AF11" s="82"/>
      <c r="AG11" s="82"/>
      <c r="AH11" s="82"/>
      <c r="AI11" s="82"/>
      <c r="AJ11" s="82"/>
      <c r="AK11" s="82"/>
      <c r="AL11" s="82"/>
      <c r="AM11" s="82"/>
      <c r="AN11" s="82"/>
    </row>
    <row r="12" spans="2:40" x14ac:dyDescent="0.25">
      <c r="B12" s="71" t="s">
        <v>32</v>
      </c>
      <c r="Q12" s="94" t="s">
        <v>130</v>
      </c>
      <c r="R12" s="81"/>
      <c r="S12" s="81"/>
      <c r="T12" s="81"/>
      <c r="U12" s="81"/>
      <c r="V12" s="81"/>
      <c r="W12" s="81"/>
      <c r="X12" s="81"/>
      <c r="Y12" s="82"/>
      <c r="Z12" s="82"/>
      <c r="AA12" s="82"/>
      <c r="AB12" s="82"/>
      <c r="AC12" s="82"/>
      <c r="AD12" s="82"/>
      <c r="AE12" s="82"/>
      <c r="AF12" s="82"/>
      <c r="AG12" s="82"/>
      <c r="AH12" s="82"/>
      <c r="AI12" s="82"/>
      <c r="AJ12" s="82"/>
      <c r="AK12" s="82"/>
      <c r="AL12" s="82"/>
      <c r="AM12" s="82"/>
      <c r="AN12" s="82"/>
    </row>
    <row r="13" spans="2:40" x14ac:dyDescent="0.25">
      <c r="B13" s="71" t="s">
        <v>32</v>
      </c>
      <c r="Q13" s="94" t="s">
        <v>130</v>
      </c>
      <c r="R13" s="81"/>
      <c r="S13" s="81"/>
      <c r="T13" s="81"/>
      <c r="U13" s="81"/>
      <c r="V13" s="81"/>
      <c r="W13" s="81"/>
      <c r="X13" s="81"/>
      <c r="Y13" s="82"/>
      <c r="Z13" s="82"/>
      <c r="AA13" s="82"/>
      <c r="AB13" s="82"/>
      <c r="AC13" s="82"/>
      <c r="AD13" s="82"/>
      <c r="AE13" s="82"/>
      <c r="AF13" s="82"/>
      <c r="AG13" s="82"/>
      <c r="AH13" s="82"/>
      <c r="AI13" s="82"/>
      <c r="AJ13" s="82"/>
      <c r="AK13" s="82"/>
      <c r="AL13" s="82"/>
      <c r="AM13" s="82"/>
      <c r="AN13" s="82"/>
    </row>
    <row r="14" spans="2:40" x14ac:dyDescent="0.25">
      <c r="B14" s="71" t="s">
        <v>32</v>
      </c>
      <c r="Q14" s="94" t="s">
        <v>130</v>
      </c>
      <c r="R14" s="81"/>
      <c r="S14" s="81"/>
      <c r="T14" s="81"/>
      <c r="U14" s="81"/>
      <c r="V14" s="81"/>
      <c r="W14" s="81"/>
      <c r="X14" s="81"/>
      <c r="Y14" s="82"/>
      <c r="Z14" s="82"/>
      <c r="AA14" s="82"/>
      <c r="AB14" s="82"/>
      <c r="AC14" s="82"/>
      <c r="AD14" s="82"/>
      <c r="AE14" s="82"/>
      <c r="AF14" s="82"/>
      <c r="AG14" s="82"/>
      <c r="AH14" s="82"/>
      <c r="AI14" s="82"/>
      <c r="AJ14" s="82"/>
      <c r="AK14" s="82"/>
      <c r="AL14" s="82"/>
      <c r="AM14" s="82"/>
      <c r="AN14" s="82"/>
    </row>
    <row r="15" spans="2:40" x14ac:dyDescent="0.25">
      <c r="B15" s="71" t="s">
        <v>32</v>
      </c>
      <c r="Q15" s="94" t="s">
        <v>130</v>
      </c>
      <c r="R15" s="81"/>
      <c r="S15" s="81"/>
      <c r="T15" s="81"/>
      <c r="U15" s="81"/>
      <c r="V15" s="81"/>
      <c r="W15" s="81"/>
      <c r="X15" s="81"/>
      <c r="Y15" s="82"/>
      <c r="Z15" s="82"/>
      <c r="AA15" s="82"/>
      <c r="AB15" s="82"/>
      <c r="AC15" s="82"/>
      <c r="AD15" s="82"/>
      <c r="AE15" s="82"/>
      <c r="AF15" s="82"/>
      <c r="AG15" s="82"/>
      <c r="AH15" s="82"/>
      <c r="AI15" s="82"/>
      <c r="AJ15" s="82"/>
      <c r="AK15" s="82"/>
      <c r="AL15" s="82"/>
      <c r="AM15" s="82"/>
      <c r="AN15" s="82"/>
    </row>
    <row r="16" spans="2:40" x14ac:dyDescent="0.25">
      <c r="B16" s="71" t="s">
        <v>32</v>
      </c>
      <c r="Q16" s="94" t="s">
        <v>130</v>
      </c>
      <c r="R16" s="81"/>
      <c r="S16" s="81"/>
      <c r="T16" s="81"/>
      <c r="U16" s="81"/>
      <c r="V16" s="81"/>
      <c r="W16" s="81"/>
      <c r="X16" s="81"/>
      <c r="Y16" s="82"/>
      <c r="Z16" s="82"/>
      <c r="AA16" s="82"/>
      <c r="AB16" s="82"/>
      <c r="AC16" s="82"/>
      <c r="AD16" s="82"/>
      <c r="AE16" s="82"/>
      <c r="AF16" s="82"/>
      <c r="AG16" s="82"/>
      <c r="AH16" s="82"/>
      <c r="AI16" s="82"/>
      <c r="AJ16" s="82"/>
      <c r="AK16" s="82"/>
      <c r="AL16" s="82"/>
      <c r="AM16" s="82"/>
      <c r="AN16" s="82"/>
    </row>
    <row r="17" spans="2:40" x14ac:dyDescent="0.25">
      <c r="B17" s="71" t="s">
        <v>32</v>
      </c>
      <c r="Q17" s="94" t="s">
        <v>130</v>
      </c>
      <c r="R17" s="81"/>
      <c r="S17" s="81"/>
      <c r="T17" s="81"/>
      <c r="U17" s="81"/>
      <c r="V17" s="81"/>
      <c r="W17" s="81"/>
      <c r="X17" s="81"/>
      <c r="Y17" s="82"/>
      <c r="Z17" s="82"/>
      <c r="AA17" s="82"/>
      <c r="AB17" s="82"/>
      <c r="AC17" s="82"/>
      <c r="AD17" s="82"/>
      <c r="AE17" s="82"/>
      <c r="AF17" s="82"/>
      <c r="AG17" s="82"/>
      <c r="AH17" s="82"/>
      <c r="AI17" s="82"/>
      <c r="AJ17" s="82"/>
      <c r="AK17" s="82"/>
      <c r="AL17" s="82"/>
      <c r="AM17" s="82"/>
      <c r="AN17" s="82"/>
    </row>
    <row r="18" spans="2:40" ht="30" x14ac:dyDescent="0.25">
      <c r="B18" s="71" t="s">
        <v>32</v>
      </c>
      <c r="C18" s="512" t="str">
        <f>'بيانات الدراسة'!D10</f>
        <v>مثال لدراسة</v>
      </c>
      <c r="D18" s="512"/>
      <c r="E18" s="512"/>
      <c r="F18" s="512"/>
      <c r="G18" s="512"/>
      <c r="H18" s="512"/>
      <c r="I18" s="512"/>
      <c r="J18" s="512"/>
      <c r="K18" s="512"/>
      <c r="L18" s="512"/>
      <c r="M18" s="512"/>
      <c r="N18" s="512"/>
      <c r="O18" s="512"/>
      <c r="Q18" s="94" t="s">
        <v>130</v>
      </c>
      <c r="R18" s="81"/>
      <c r="S18" s="81"/>
      <c r="T18" s="81"/>
      <c r="U18" s="81"/>
      <c r="V18" s="81"/>
      <c r="W18" s="81"/>
      <c r="X18" s="81"/>
      <c r="Y18" s="82"/>
      <c r="Z18" s="82"/>
      <c r="AA18" s="82"/>
      <c r="AB18" s="82"/>
      <c r="AC18" s="82"/>
      <c r="AD18" s="82"/>
      <c r="AE18" s="82"/>
      <c r="AF18" s="82"/>
      <c r="AG18" s="82"/>
      <c r="AH18" s="82"/>
      <c r="AI18" s="82"/>
      <c r="AJ18" s="82"/>
      <c r="AK18" s="82"/>
      <c r="AL18" s="82"/>
      <c r="AM18" s="82"/>
      <c r="AN18" s="82"/>
    </row>
    <row r="19" spans="2:40" x14ac:dyDescent="0.25">
      <c r="B19" s="71" t="s">
        <v>32</v>
      </c>
      <c r="Q19" s="94" t="s">
        <v>130</v>
      </c>
      <c r="R19" s="81"/>
      <c r="S19" s="81"/>
      <c r="T19" s="81"/>
      <c r="U19" s="81"/>
      <c r="V19" s="81"/>
      <c r="W19" s="81"/>
      <c r="X19" s="81"/>
      <c r="Y19" s="82"/>
      <c r="Z19" s="82"/>
      <c r="AA19" s="82"/>
      <c r="AB19" s="82"/>
      <c r="AC19" s="82"/>
      <c r="AD19" s="82"/>
      <c r="AE19" s="82"/>
      <c r="AF19" s="82"/>
      <c r="AG19" s="82"/>
      <c r="AH19" s="82"/>
      <c r="AI19" s="82"/>
      <c r="AJ19" s="82"/>
      <c r="AK19" s="82"/>
      <c r="AL19" s="82"/>
      <c r="AM19" s="82"/>
      <c r="AN19" s="82"/>
    </row>
    <row r="20" spans="2:40" x14ac:dyDescent="0.25">
      <c r="B20" s="71" t="s">
        <v>32</v>
      </c>
      <c r="Q20" s="94" t="s">
        <v>130</v>
      </c>
      <c r="R20" s="81"/>
      <c r="S20" s="81"/>
      <c r="T20" s="81"/>
      <c r="U20" s="81"/>
      <c r="V20" s="81"/>
      <c r="W20" s="81"/>
      <c r="X20" s="81"/>
      <c r="Y20" s="82"/>
      <c r="Z20" s="82"/>
      <c r="AA20" s="82"/>
      <c r="AB20" s="82"/>
      <c r="AC20" s="82"/>
      <c r="AD20" s="82"/>
      <c r="AE20" s="82"/>
      <c r="AF20" s="82"/>
      <c r="AG20" s="82"/>
      <c r="AH20" s="82"/>
      <c r="AI20" s="82"/>
      <c r="AJ20" s="82"/>
      <c r="AK20" s="82"/>
      <c r="AL20" s="82"/>
      <c r="AM20" s="82"/>
      <c r="AN20" s="82"/>
    </row>
    <row r="21" spans="2:40" ht="60" x14ac:dyDescent="0.25">
      <c r="B21" s="71" t="s">
        <v>32</v>
      </c>
      <c r="C21" s="513" t="s">
        <v>116</v>
      </c>
      <c r="D21" s="513"/>
      <c r="E21" s="513"/>
      <c r="F21" s="513"/>
      <c r="G21" s="513"/>
      <c r="H21" s="513"/>
      <c r="I21" s="513"/>
      <c r="J21" s="513"/>
      <c r="K21" s="513"/>
      <c r="L21" s="513"/>
      <c r="M21" s="513"/>
      <c r="N21" s="513"/>
      <c r="O21" s="513"/>
      <c r="P21" s="73"/>
      <c r="Q21" s="94" t="s">
        <v>130</v>
      </c>
      <c r="R21" s="96"/>
      <c r="S21" s="96"/>
      <c r="T21" s="96"/>
      <c r="U21" s="81"/>
      <c r="V21" s="81"/>
      <c r="W21" s="81"/>
      <c r="X21" s="81"/>
      <c r="Y21" s="82"/>
      <c r="Z21" s="82"/>
      <c r="AA21" s="82"/>
      <c r="AB21" s="82"/>
      <c r="AC21" s="82"/>
      <c r="AD21" s="82"/>
      <c r="AE21" s="82"/>
      <c r="AF21" s="82"/>
      <c r="AG21" s="82"/>
      <c r="AH21" s="82"/>
      <c r="AI21" s="82"/>
      <c r="AJ21" s="82"/>
      <c r="AK21" s="82"/>
      <c r="AL21" s="82"/>
      <c r="AM21" s="82"/>
      <c r="AN21" s="82"/>
    </row>
    <row r="22" spans="2:40" x14ac:dyDescent="0.25">
      <c r="B22" s="71" t="s">
        <v>32</v>
      </c>
      <c r="Q22" s="94" t="s">
        <v>130</v>
      </c>
      <c r="R22" s="81"/>
      <c r="S22" s="81"/>
      <c r="T22" s="81"/>
      <c r="U22" s="81"/>
      <c r="V22" s="81"/>
      <c r="W22" s="81"/>
      <c r="X22" s="81"/>
      <c r="Y22" s="82"/>
      <c r="Z22" s="82"/>
      <c r="AA22" s="82"/>
      <c r="AB22" s="82"/>
      <c r="AC22" s="82"/>
      <c r="AD22" s="82"/>
      <c r="AE22" s="82"/>
      <c r="AF22" s="82"/>
      <c r="AG22" s="82"/>
      <c r="AH22" s="82"/>
      <c r="AI22" s="82"/>
      <c r="AJ22" s="82"/>
      <c r="AK22" s="82"/>
      <c r="AL22" s="82"/>
      <c r="AM22" s="82"/>
      <c r="AN22" s="82"/>
    </row>
    <row r="23" spans="2:40" x14ac:dyDescent="0.25">
      <c r="B23" s="71" t="s">
        <v>32</v>
      </c>
      <c r="D23" s="74"/>
      <c r="E23" s="514"/>
      <c r="F23" s="514"/>
      <c r="G23" s="74"/>
      <c r="H23" s="74"/>
      <c r="I23" s="189"/>
      <c r="J23" s="74"/>
      <c r="K23" s="74"/>
      <c r="L23" s="74"/>
      <c r="M23" s="74"/>
      <c r="N23" s="74"/>
      <c r="O23" s="74"/>
      <c r="P23" s="75"/>
      <c r="Q23" s="94" t="s">
        <v>130</v>
      </c>
      <c r="R23" s="97"/>
      <c r="S23" s="97"/>
      <c r="T23" s="97"/>
      <c r="U23" s="81"/>
      <c r="V23" s="81"/>
      <c r="W23" s="81"/>
      <c r="X23" s="81"/>
      <c r="Y23" s="82"/>
      <c r="Z23" s="82"/>
      <c r="AA23" s="82"/>
      <c r="AB23" s="82"/>
      <c r="AC23" s="82"/>
      <c r="AD23" s="82"/>
      <c r="AE23" s="82"/>
      <c r="AF23" s="82"/>
      <c r="AG23" s="82"/>
      <c r="AH23" s="82"/>
      <c r="AI23" s="82"/>
      <c r="AJ23" s="82"/>
      <c r="AK23" s="82"/>
      <c r="AL23" s="82"/>
      <c r="AM23" s="82"/>
      <c r="AN23" s="82"/>
    </row>
    <row r="24" spans="2:40" x14ac:dyDescent="0.25">
      <c r="B24" s="71" t="s">
        <v>32</v>
      </c>
      <c r="Q24" s="94" t="s">
        <v>130</v>
      </c>
      <c r="R24" s="81"/>
      <c r="S24" s="81"/>
      <c r="T24" s="81"/>
      <c r="U24" s="81"/>
      <c r="V24" s="81"/>
      <c r="W24" s="81"/>
      <c r="X24" s="81"/>
      <c r="Y24" s="82"/>
      <c r="Z24" s="82"/>
      <c r="AA24" s="82"/>
      <c r="AB24" s="82"/>
      <c r="AC24" s="82"/>
      <c r="AD24" s="82"/>
      <c r="AE24" s="82"/>
      <c r="AF24" s="82"/>
      <c r="AG24" s="82"/>
      <c r="AH24" s="82"/>
      <c r="AI24" s="82"/>
      <c r="AJ24" s="82"/>
      <c r="AK24" s="82"/>
      <c r="AL24" s="82"/>
      <c r="AM24" s="82"/>
      <c r="AN24" s="82"/>
    </row>
    <row r="25" spans="2:40" ht="17.399999999999999" x14ac:dyDescent="0.25">
      <c r="B25" s="71" t="s">
        <v>32</v>
      </c>
      <c r="E25" s="76" t="str">
        <f>IF('بيانات الدراسة'!C10=0,"",'بيانات الدراسة'!C10)</f>
        <v>اسم المشروع</v>
      </c>
      <c r="G25" s="510" t="str">
        <f>IF('بيانات الدراسة'!D10=0,"",'بيانات الدراسة'!D10)</f>
        <v>مثال لدراسة</v>
      </c>
      <c r="H25" s="510"/>
      <c r="I25" s="510"/>
      <c r="J25" s="188"/>
      <c r="Q25" s="94" t="s">
        <v>130</v>
      </c>
      <c r="R25" s="81"/>
      <c r="S25" s="81"/>
      <c r="T25" s="81"/>
      <c r="U25" s="81"/>
      <c r="V25" s="81"/>
      <c r="W25" s="81"/>
      <c r="X25" s="81"/>
      <c r="Y25" s="82"/>
      <c r="Z25" s="82"/>
      <c r="AA25" s="82"/>
      <c r="AB25" s="82"/>
      <c r="AC25" s="82"/>
      <c r="AD25" s="82"/>
      <c r="AE25" s="82"/>
      <c r="AF25" s="82"/>
      <c r="AG25" s="82"/>
      <c r="AH25" s="82"/>
      <c r="AI25" s="82"/>
      <c r="AJ25" s="82"/>
      <c r="AK25" s="82"/>
      <c r="AL25" s="82"/>
      <c r="AM25" s="82"/>
      <c r="AN25" s="82"/>
    </row>
    <row r="26" spans="2:40" ht="17.399999999999999" x14ac:dyDescent="0.25">
      <c r="B26" s="71" t="s">
        <v>32</v>
      </c>
      <c r="E26" s="76" t="str">
        <f>IF('بيانات الدراسة'!C5=0,"",'بيانات الدراسة'!C5)</f>
        <v>اسم مقدم الدراسة</v>
      </c>
      <c r="G26" s="510" t="str">
        <f>IF('بيانات الدراسة'!D5=0,"",'بيانات الدراسة'!D5)</f>
        <v>المستقبل الواعد</v>
      </c>
      <c r="H26" s="510"/>
      <c r="I26" s="510"/>
      <c r="J26" s="188"/>
      <c r="Q26" s="94" t="s">
        <v>130</v>
      </c>
      <c r="R26" s="81"/>
      <c r="S26" s="81"/>
      <c r="T26" s="81"/>
      <c r="U26" s="81"/>
      <c r="V26" s="81"/>
      <c r="W26" s="81"/>
      <c r="X26" s="81"/>
      <c r="Y26" s="82"/>
      <c r="Z26" s="82"/>
      <c r="AA26" s="82"/>
      <c r="AB26" s="82"/>
      <c r="AC26" s="82"/>
      <c r="AD26" s="82"/>
      <c r="AE26" s="82"/>
      <c r="AF26" s="82"/>
      <c r="AG26" s="82"/>
      <c r="AH26" s="82"/>
      <c r="AI26" s="82"/>
      <c r="AJ26" s="82"/>
      <c r="AK26" s="82"/>
      <c r="AL26" s="82"/>
      <c r="AM26" s="82"/>
      <c r="AN26" s="82"/>
    </row>
    <row r="27" spans="2:40" ht="17.399999999999999" x14ac:dyDescent="0.25">
      <c r="B27" s="71" t="s">
        <v>32</v>
      </c>
      <c r="E27" s="76" t="str">
        <f>IF('بيانات الدراسة'!C6=0,"",'بيانات الدراسة'!C6)</f>
        <v>الإيميل</v>
      </c>
      <c r="G27" s="510" t="str">
        <f>IF('بيانات الدراسة'!D6=0,"",'بيانات الدراسة'!D6)</f>
        <v/>
      </c>
      <c r="H27" s="510"/>
      <c r="I27" s="510"/>
      <c r="J27" s="188"/>
      <c r="Q27" s="94" t="s">
        <v>130</v>
      </c>
      <c r="R27" s="81"/>
      <c r="S27" s="81"/>
      <c r="T27" s="81"/>
      <c r="U27" s="81"/>
      <c r="V27" s="81"/>
      <c r="W27" s="81"/>
      <c r="X27" s="81"/>
      <c r="Y27" s="82"/>
      <c r="Z27" s="82"/>
      <c r="AA27" s="82"/>
      <c r="AB27" s="82"/>
      <c r="AC27" s="82"/>
      <c r="AD27" s="82"/>
      <c r="AE27" s="82"/>
      <c r="AF27" s="82"/>
      <c r="AG27" s="82"/>
      <c r="AH27" s="82"/>
      <c r="AI27" s="82"/>
      <c r="AJ27" s="82"/>
      <c r="AK27" s="82"/>
      <c r="AL27" s="82"/>
      <c r="AM27" s="82"/>
      <c r="AN27" s="82"/>
    </row>
    <row r="28" spans="2:40" ht="17.399999999999999" x14ac:dyDescent="0.25">
      <c r="B28" s="71" t="s">
        <v>32</v>
      </c>
      <c r="E28" s="76" t="str">
        <f>IF('بيانات الدراسة'!C7=0,"",'بيانات الدراسة'!C7)</f>
        <v>الموقع الإلكتروني</v>
      </c>
      <c r="G28" s="510" t="str">
        <f>IF('بيانات الدراسة'!D7=0,"",'بيانات الدراسة'!D7)</f>
        <v>https://w-a3d.com/</v>
      </c>
      <c r="H28" s="510"/>
      <c r="I28" s="510"/>
      <c r="J28" s="188"/>
      <c r="Q28" s="94" t="s">
        <v>130</v>
      </c>
      <c r="R28" s="81"/>
      <c r="S28" s="81"/>
      <c r="T28" s="81"/>
      <c r="U28" s="81"/>
      <c r="V28" s="81"/>
      <c r="W28" s="81"/>
      <c r="X28" s="81"/>
      <c r="Y28" s="82"/>
      <c r="Z28" s="82"/>
      <c r="AA28" s="82"/>
      <c r="AB28" s="82"/>
      <c r="AC28" s="82"/>
      <c r="AD28" s="82"/>
      <c r="AE28" s="82"/>
      <c r="AF28" s="82"/>
      <c r="AG28" s="82"/>
      <c r="AH28" s="82"/>
      <c r="AI28" s="82"/>
      <c r="AJ28" s="82"/>
      <c r="AK28" s="82"/>
      <c r="AL28" s="82"/>
      <c r="AM28" s="82"/>
      <c r="AN28" s="82"/>
    </row>
    <row r="29" spans="2:40" ht="17.399999999999999" x14ac:dyDescent="0.25">
      <c r="B29" s="71" t="s">
        <v>32</v>
      </c>
      <c r="E29" s="76" t="str">
        <f>IF('بيانات الدراسة'!C8=0,"",'بيانات الدراسة'!C8)</f>
        <v xml:space="preserve">رقم الهاتف </v>
      </c>
      <c r="G29" s="510" t="str">
        <f>IF('بيانات الدراسة'!D8=0,"",'بيانات الدراسة'!D8)</f>
        <v>0531513273</v>
      </c>
      <c r="H29" s="510"/>
      <c r="I29" s="510"/>
      <c r="J29" s="188"/>
      <c r="Q29" s="94" t="s">
        <v>130</v>
      </c>
      <c r="R29" s="81"/>
      <c r="S29" s="81"/>
      <c r="T29" s="81"/>
      <c r="U29" s="81"/>
      <c r="V29" s="81"/>
      <c r="W29" s="81"/>
      <c r="X29" s="81"/>
      <c r="Y29" s="82"/>
      <c r="Z29" s="82"/>
      <c r="AA29" s="82"/>
      <c r="AB29" s="82"/>
      <c r="AC29" s="82"/>
      <c r="AD29" s="82"/>
      <c r="AE29" s="82"/>
      <c r="AF29" s="82"/>
      <c r="AG29" s="82"/>
      <c r="AH29" s="82"/>
      <c r="AI29" s="82"/>
      <c r="AJ29" s="82"/>
      <c r="AK29" s="82"/>
      <c r="AL29" s="82"/>
      <c r="AM29" s="82"/>
      <c r="AN29" s="82"/>
    </row>
    <row r="30" spans="2:40" ht="17.399999999999999" x14ac:dyDescent="0.25">
      <c r="B30" s="71" t="s">
        <v>32</v>
      </c>
      <c r="E30" s="76" t="str">
        <f>IF('بيانات الدراسة'!C11=0,"",'بيانات الدراسة'!C11)</f>
        <v xml:space="preserve">العنوان </v>
      </c>
      <c r="G30" s="510" t="str">
        <f>IF('بيانات الدراسة'!D11=0,"",'بيانات الدراسة'!D11)</f>
        <v>الخبر - المملكة العربية السعودية</v>
      </c>
      <c r="H30" s="510"/>
      <c r="I30" s="510"/>
      <c r="J30" s="188"/>
      <c r="Q30" s="94" t="s">
        <v>130</v>
      </c>
      <c r="R30" s="81"/>
      <c r="S30" s="81"/>
      <c r="T30" s="81"/>
      <c r="U30" s="81"/>
      <c r="V30" s="81"/>
      <c r="W30" s="81"/>
      <c r="X30" s="81"/>
      <c r="Y30" s="82"/>
      <c r="Z30" s="82"/>
      <c r="AA30" s="82"/>
      <c r="AB30" s="82"/>
      <c r="AC30" s="82"/>
      <c r="AD30" s="82"/>
      <c r="AE30" s="82"/>
      <c r="AF30" s="82"/>
      <c r="AG30" s="82"/>
      <c r="AH30" s="82"/>
      <c r="AI30" s="82"/>
      <c r="AJ30" s="82"/>
      <c r="AK30" s="82"/>
      <c r="AL30" s="82"/>
      <c r="AM30" s="82"/>
      <c r="AN30" s="82"/>
    </row>
    <row r="31" spans="2:40" ht="17.399999999999999" x14ac:dyDescent="0.25">
      <c r="B31" s="71" t="s">
        <v>32</v>
      </c>
      <c r="E31" s="76" t="str">
        <f>IF('بيانات الدراسة'!C12=0,"",'بيانات الدراسة'!C12)</f>
        <v>تاريخ إعداد الدراسة</v>
      </c>
      <c r="G31" s="515">
        <f>IF('بيانات الدراسة'!D12=0,"",'بيانات الدراسة'!D12)</f>
        <v>45313</v>
      </c>
      <c r="H31" s="515"/>
      <c r="I31" s="515"/>
      <c r="J31" s="190"/>
      <c r="Q31" s="94" t="s">
        <v>130</v>
      </c>
      <c r="R31" s="81"/>
      <c r="S31" s="81"/>
      <c r="T31" s="81"/>
      <c r="U31" s="81"/>
      <c r="V31" s="81"/>
      <c r="W31" s="81"/>
      <c r="X31" s="81"/>
      <c r="Y31" s="82"/>
      <c r="Z31" s="82"/>
      <c r="AA31" s="82"/>
      <c r="AB31" s="82"/>
      <c r="AC31" s="82"/>
      <c r="AD31" s="82"/>
      <c r="AE31" s="82"/>
      <c r="AF31" s="82"/>
      <c r="AG31" s="82"/>
      <c r="AH31" s="82"/>
      <c r="AI31" s="82"/>
      <c r="AJ31" s="82"/>
      <c r="AK31" s="82"/>
      <c r="AL31" s="82"/>
      <c r="AM31" s="82"/>
      <c r="AN31" s="82"/>
    </row>
    <row r="32" spans="2:40" ht="17.399999999999999" x14ac:dyDescent="0.25">
      <c r="B32" s="71" t="s">
        <v>32</v>
      </c>
      <c r="E32" s="76" t="str">
        <f>IF('بيانات الدراسة'!C14=0,"",'بيانات الدراسة'!C14)</f>
        <v>العملة</v>
      </c>
      <c r="G32" s="510" t="str">
        <f>IF('بيانات الدراسة'!D17&lt;&gt;0,'بيانات الدراسة'!D16,'بيانات الدراسة'!D14)</f>
        <v>الريال السعودي</v>
      </c>
      <c r="H32" s="510"/>
      <c r="I32" s="510"/>
      <c r="J32" s="188"/>
      <c r="Q32" s="94" t="s">
        <v>130</v>
      </c>
      <c r="R32" s="81"/>
      <c r="S32" s="81"/>
      <c r="T32" s="81"/>
      <c r="U32" s="81"/>
      <c r="V32" s="81"/>
      <c r="W32" s="81"/>
      <c r="X32" s="81"/>
      <c r="Y32" s="82"/>
      <c r="Z32" s="82"/>
      <c r="AA32" s="82"/>
      <c r="AB32" s="82"/>
      <c r="AC32" s="82"/>
      <c r="AD32" s="82"/>
      <c r="AE32" s="82"/>
      <c r="AF32" s="82"/>
      <c r="AG32" s="82"/>
      <c r="AH32" s="82"/>
      <c r="AI32" s="82"/>
      <c r="AJ32" s="82"/>
      <c r="AK32" s="82"/>
      <c r="AL32" s="82"/>
      <c r="AM32" s="82"/>
      <c r="AN32" s="82"/>
    </row>
    <row r="33" spans="2:40" x14ac:dyDescent="0.25">
      <c r="B33" s="71" t="s">
        <v>32</v>
      </c>
      <c r="Q33" s="94" t="s">
        <v>130</v>
      </c>
      <c r="R33" s="81"/>
      <c r="S33" s="81"/>
      <c r="T33" s="81"/>
      <c r="U33" s="81"/>
      <c r="V33" s="81"/>
      <c r="W33" s="81"/>
      <c r="X33" s="81"/>
      <c r="Y33" s="82"/>
      <c r="Z33" s="82"/>
      <c r="AA33" s="82"/>
      <c r="AB33" s="82"/>
      <c r="AC33" s="82"/>
      <c r="AD33" s="82"/>
      <c r="AE33" s="82"/>
      <c r="AF33" s="82"/>
      <c r="AG33" s="82"/>
      <c r="AH33" s="82"/>
      <c r="AI33" s="82"/>
      <c r="AJ33" s="82"/>
      <c r="AK33" s="82"/>
      <c r="AL33" s="82"/>
      <c r="AM33" s="82"/>
      <c r="AN33" s="82"/>
    </row>
    <row r="34" spans="2:40" x14ac:dyDescent="0.25">
      <c r="B34" s="71" t="s">
        <v>32</v>
      </c>
      <c r="Q34" s="94" t="s">
        <v>130</v>
      </c>
      <c r="R34" s="81"/>
      <c r="S34" s="81"/>
      <c r="T34" s="81"/>
      <c r="U34" s="81"/>
      <c r="V34" s="81"/>
      <c r="W34" s="81"/>
      <c r="X34" s="81"/>
      <c r="Y34" s="82"/>
      <c r="Z34" s="82"/>
      <c r="AA34" s="82"/>
      <c r="AB34" s="82"/>
      <c r="AC34" s="82"/>
      <c r="AD34" s="82"/>
      <c r="AE34" s="82"/>
      <c r="AF34" s="82"/>
      <c r="AG34" s="82"/>
      <c r="AH34" s="82"/>
      <c r="AI34" s="82"/>
      <c r="AJ34" s="82"/>
      <c r="AK34" s="82"/>
      <c r="AL34" s="82"/>
      <c r="AM34" s="82"/>
      <c r="AN34" s="82"/>
    </row>
    <row r="35" spans="2:40" x14ac:dyDescent="0.25">
      <c r="B35" s="71" t="s">
        <v>32</v>
      </c>
      <c r="I35" s="66"/>
      <c r="Q35" s="94" t="s">
        <v>130</v>
      </c>
      <c r="R35" s="81"/>
      <c r="S35" s="81"/>
      <c r="T35" s="81"/>
      <c r="U35" s="81"/>
      <c r="V35" s="81"/>
      <c r="W35" s="81"/>
      <c r="X35" s="81"/>
      <c r="Y35" s="82"/>
      <c r="Z35" s="82"/>
      <c r="AA35" s="82"/>
      <c r="AB35" s="82"/>
      <c r="AC35" s="82"/>
      <c r="AD35" s="82"/>
      <c r="AE35" s="82"/>
      <c r="AF35" s="82"/>
      <c r="AG35" s="82"/>
      <c r="AH35" s="82"/>
      <c r="AI35" s="82"/>
      <c r="AJ35" s="82"/>
      <c r="AK35" s="82"/>
      <c r="AL35" s="82"/>
      <c r="AM35" s="82"/>
      <c r="AN35" s="82"/>
    </row>
    <row r="36" spans="2:40" ht="18" customHeight="1" x14ac:dyDescent="0.25">
      <c r="B36" s="71" t="s">
        <v>32</v>
      </c>
      <c r="I36" s="66"/>
      <c r="Q36" s="94" t="s">
        <v>130</v>
      </c>
      <c r="R36" s="81"/>
      <c r="S36" s="81"/>
      <c r="T36" s="81"/>
      <c r="U36" s="81"/>
      <c r="V36" s="81"/>
      <c r="W36" s="81"/>
      <c r="X36" s="81"/>
      <c r="Y36" s="82"/>
      <c r="Z36" s="82"/>
      <c r="AA36" s="82"/>
      <c r="AB36" s="82"/>
      <c r="AC36" s="82"/>
      <c r="AD36" s="82"/>
      <c r="AE36" s="82"/>
      <c r="AF36" s="82"/>
      <c r="AG36" s="82"/>
      <c r="AH36" s="82"/>
      <c r="AI36" s="82"/>
      <c r="AJ36" s="82"/>
      <c r="AK36" s="82"/>
      <c r="AL36" s="82"/>
      <c r="AM36" s="82"/>
      <c r="AN36" s="82"/>
    </row>
    <row r="37" spans="2:40" x14ac:dyDescent="0.25">
      <c r="B37" s="71" t="s">
        <v>32</v>
      </c>
      <c r="I37" s="66"/>
      <c r="Q37" s="94" t="s">
        <v>130</v>
      </c>
      <c r="R37" s="81"/>
      <c r="S37" s="81"/>
      <c r="T37" s="81"/>
      <c r="U37" s="81"/>
      <c r="V37" s="81"/>
      <c r="W37" s="81"/>
      <c r="X37" s="81"/>
      <c r="Y37" s="82"/>
      <c r="Z37" s="82"/>
      <c r="AA37" s="82"/>
      <c r="AB37" s="82"/>
      <c r="AC37" s="82"/>
      <c r="AD37" s="82"/>
      <c r="AE37" s="82"/>
      <c r="AF37" s="82"/>
      <c r="AG37" s="82"/>
      <c r="AH37" s="82"/>
      <c r="AI37" s="82"/>
      <c r="AJ37" s="82"/>
      <c r="AK37" s="82"/>
      <c r="AL37" s="82"/>
      <c r="AM37" s="82"/>
      <c r="AN37" s="82"/>
    </row>
    <row r="38" spans="2:40" x14ac:dyDescent="0.25">
      <c r="B38" s="71" t="s">
        <v>32</v>
      </c>
      <c r="I38" s="66"/>
      <c r="Q38" s="94" t="s">
        <v>130</v>
      </c>
      <c r="R38" s="81"/>
      <c r="S38" s="81"/>
      <c r="T38" s="81"/>
      <c r="U38" s="81"/>
      <c r="V38" s="81"/>
      <c r="W38" s="81"/>
      <c r="X38" s="81"/>
      <c r="Y38" s="82"/>
      <c r="Z38" s="82"/>
      <c r="AA38" s="82"/>
      <c r="AB38" s="82"/>
      <c r="AC38" s="82"/>
      <c r="AD38" s="82"/>
      <c r="AE38" s="82"/>
      <c r="AF38" s="82"/>
      <c r="AG38" s="82"/>
      <c r="AH38" s="82"/>
      <c r="AI38" s="82"/>
      <c r="AJ38" s="82"/>
      <c r="AK38" s="82"/>
      <c r="AL38" s="82"/>
      <c r="AM38" s="82"/>
      <c r="AN38" s="82"/>
    </row>
    <row r="39" spans="2:40" x14ac:dyDescent="0.25">
      <c r="B39" s="71" t="s">
        <v>32</v>
      </c>
      <c r="I39" s="66"/>
      <c r="Q39" s="94" t="s">
        <v>130</v>
      </c>
      <c r="R39" s="81"/>
      <c r="S39" s="81"/>
      <c r="T39" s="81"/>
      <c r="U39" s="81"/>
      <c r="V39" s="81"/>
      <c r="W39" s="81"/>
      <c r="X39" s="81"/>
      <c r="Y39" s="82"/>
      <c r="Z39" s="82"/>
      <c r="AA39" s="82"/>
      <c r="AB39" s="82"/>
      <c r="AC39" s="82"/>
      <c r="AD39" s="82"/>
      <c r="AE39" s="82"/>
      <c r="AF39" s="82"/>
      <c r="AG39" s="82"/>
      <c r="AH39" s="82"/>
      <c r="AI39" s="82"/>
      <c r="AJ39" s="82"/>
      <c r="AK39" s="82"/>
      <c r="AL39" s="82"/>
      <c r="AM39" s="82"/>
      <c r="AN39" s="82"/>
    </row>
    <row r="40" spans="2:40" x14ac:dyDescent="0.25">
      <c r="B40" s="71" t="s">
        <v>32</v>
      </c>
      <c r="I40" s="66"/>
      <c r="Q40" s="94" t="s">
        <v>130</v>
      </c>
      <c r="R40" s="81"/>
      <c r="S40" s="81"/>
      <c r="T40" s="81"/>
      <c r="U40" s="81"/>
      <c r="V40" s="81"/>
      <c r="W40" s="81"/>
      <c r="X40" s="81"/>
      <c r="Y40" s="82"/>
      <c r="Z40" s="82"/>
      <c r="AA40" s="82"/>
      <c r="AB40" s="82"/>
      <c r="AC40" s="82"/>
      <c r="AD40" s="82"/>
      <c r="AE40" s="82"/>
      <c r="AF40" s="82"/>
      <c r="AG40" s="82"/>
      <c r="AH40" s="82"/>
      <c r="AI40" s="82"/>
      <c r="AJ40" s="82"/>
      <c r="AK40" s="82"/>
      <c r="AL40" s="82"/>
      <c r="AM40" s="82"/>
      <c r="AN40" s="82"/>
    </row>
    <row r="41" spans="2:40" x14ac:dyDescent="0.25">
      <c r="B41" s="71" t="s">
        <v>32</v>
      </c>
      <c r="I41" s="66"/>
      <c r="Q41" s="94" t="s">
        <v>130</v>
      </c>
      <c r="R41" s="81"/>
      <c r="S41" s="81"/>
      <c r="T41" s="81"/>
      <c r="U41" s="81"/>
      <c r="V41" s="81"/>
      <c r="W41" s="81"/>
      <c r="X41" s="81"/>
      <c r="Y41" s="82"/>
      <c r="Z41" s="82"/>
      <c r="AA41" s="82"/>
      <c r="AB41" s="82"/>
      <c r="AC41" s="82"/>
      <c r="AD41" s="82"/>
      <c r="AE41" s="82"/>
      <c r="AF41" s="82"/>
      <c r="AG41" s="82"/>
      <c r="AH41" s="82"/>
      <c r="AI41" s="82"/>
      <c r="AJ41" s="82"/>
      <c r="AK41" s="82"/>
      <c r="AL41" s="82"/>
      <c r="AM41" s="82"/>
      <c r="AN41" s="82"/>
    </row>
    <row r="42" spans="2:40" x14ac:dyDescent="0.25">
      <c r="B42" s="71" t="s">
        <v>32</v>
      </c>
      <c r="Q42" s="94" t="s">
        <v>130</v>
      </c>
      <c r="R42" s="81"/>
      <c r="S42" s="81"/>
      <c r="T42" s="81"/>
      <c r="U42" s="81"/>
      <c r="V42" s="81"/>
      <c r="W42" s="81"/>
      <c r="X42" s="81"/>
      <c r="Y42" s="82"/>
      <c r="Z42" s="82"/>
      <c r="AA42" s="82"/>
      <c r="AB42" s="82"/>
      <c r="AC42" s="82"/>
      <c r="AD42" s="82"/>
      <c r="AE42" s="82"/>
      <c r="AF42" s="82"/>
      <c r="AG42" s="82"/>
      <c r="AH42" s="82"/>
      <c r="AI42" s="82"/>
      <c r="AJ42" s="82"/>
      <c r="AK42" s="82"/>
      <c r="AL42" s="82"/>
      <c r="AM42" s="82"/>
      <c r="AN42" s="82"/>
    </row>
    <row r="43" spans="2:40" x14ac:dyDescent="0.25">
      <c r="B43" s="71" t="s">
        <v>32</v>
      </c>
      <c r="Q43" s="94" t="s">
        <v>130</v>
      </c>
      <c r="R43" s="81"/>
      <c r="S43" s="81"/>
      <c r="T43" s="81"/>
      <c r="U43" s="81"/>
      <c r="V43" s="81"/>
      <c r="W43" s="81"/>
      <c r="X43" s="81"/>
      <c r="Y43" s="82"/>
      <c r="Z43" s="82"/>
      <c r="AA43" s="82"/>
      <c r="AB43" s="82"/>
      <c r="AC43" s="82"/>
      <c r="AD43" s="82"/>
      <c r="AE43" s="82"/>
      <c r="AF43" s="82"/>
      <c r="AG43" s="82"/>
      <c r="AH43" s="82"/>
      <c r="AI43" s="82"/>
      <c r="AJ43" s="82"/>
      <c r="AK43" s="82"/>
      <c r="AL43" s="82"/>
      <c r="AM43" s="82"/>
      <c r="AN43" s="82"/>
    </row>
    <row r="44" spans="2:40" x14ac:dyDescent="0.25">
      <c r="B44" s="71" t="s">
        <v>32</v>
      </c>
      <c r="Q44" s="94" t="s">
        <v>130</v>
      </c>
      <c r="R44" s="81"/>
      <c r="S44" s="81"/>
      <c r="T44" s="81"/>
      <c r="U44" s="81"/>
      <c r="V44" s="81"/>
      <c r="W44" s="81"/>
      <c r="X44" s="81"/>
      <c r="Y44" s="82"/>
      <c r="Z44" s="82"/>
      <c r="AA44" s="82"/>
      <c r="AB44" s="82"/>
      <c r="AC44" s="82"/>
      <c r="AD44" s="82"/>
      <c r="AE44" s="82"/>
      <c r="AF44" s="82"/>
      <c r="AG44" s="82"/>
      <c r="AH44" s="82"/>
      <c r="AI44" s="82"/>
      <c r="AJ44" s="82"/>
      <c r="AK44" s="82"/>
      <c r="AL44" s="82"/>
      <c r="AM44" s="82"/>
      <c r="AN44" s="82"/>
    </row>
    <row r="45" spans="2:40" ht="1.5" customHeight="1" x14ac:dyDescent="0.25">
      <c r="B45" s="71" t="s">
        <v>32</v>
      </c>
      <c r="Q45" s="94" t="s">
        <v>130</v>
      </c>
      <c r="R45" s="81"/>
      <c r="S45" s="81"/>
      <c r="T45" s="81"/>
      <c r="U45" s="81"/>
      <c r="V45" s="81"/>
      <c r="W45" s="81"/>
      <c r="X45" s="81"/>
      <c r="Y45" s="82"/>
      <c r="Z45" s="82"/>
      <c r="AA45" s="82"/>
      <c r="AB45" s="82"/>
      <c r="AC45" s="82"/>
      <c r="AD45" s="82"/>
      <c r="AE45" s="82"/>
      <c r="AF45" s="82"/>
      <c r="AG45" s="82"/>
      <c r="AH45" s="82"/>
      <c r="AI45" s="82"/>
      <c r="AJ45" s="82"/>
      <c r="AK45" s="82"/>
      <c r="AL45" s="82"/>
      <c r="AM45" s="82"/>
      <c r="AN45" s="82"/>
    </row>
    <row r="46" spans="2:40" ht="1.5" customHeight="1" x14ac:dyDescent="0.25">
      <c r="B46" s="71" t="s">
        <v>32</v>
      </c>
      <c r="Q46" s="94" t="s">
        <v>130</v>
      </c>
      <c r="R46" s="81"/>
      <c r="S46" s="81"/>
      <c r="T46" s="81"/>
      <c r="U46" s="81"/>
      <c r="V46" s="81"/>
      <c r="W46" s="81"/>
      <c r="X46" s="81"/>
      <c r="Y46" s="82"/>
      <c r="Z46" s="82"/>
      <c r="AA46" s="82"/>
      <c r="AB46" s="82"/>
      <c r="AC46" s="82"/>
      <c r="AD46" s="82"/>
      <c r="AE46" s="82"/>
      <c r="AF46" s="82"/>
      <c r="AG46" s="82"/>
      <c r="AH46" s="82"/>
      <c r="AI46" s="82"/>
      <c r="AJ46" s="82"/>
      <c r="AK46" s="82"/>
      <c r="AL46" s="82"/>
      <c r="AM46" s="82"/>
      <c r="AN46" s="82"/>
    </row>
    <row r="47" spans="2:40" ht="1.5" customHeight="1" x14ac:dyDescent="0.25">
      <c r="B47" s="71" t="s">
        <v>32</v>
      </c>
      <c r="Q47" s="94" t="s">
        <v>130</v>
      </c>
      <c r="R47" s="81"/>
      <c r="S47" s="81"/>
      <c r="T47" s="81"/>
      <c r="U47" s="81"/>
      <c r="V47" s="81"/>
      <c r="W47" s="81"/>
      <c r="X47" s="81"/>
      <c r="Y47" s="82"/>
      <c r="Z47" s="82"/>
      <c r="AA47" s="82"/>
      <c r="AB47" s="82"/>
      <c r="AC47" s="82"/>
      <c r="AD47" s="82"/>
      <c r="AE47" s="82"/>
      <c r="AF47" s="82"/>
      <c r="AG47" s="82"/>
      <c r="AH47" s="82"/>
      <c r="AI47" s="82"/>
      <c r="AJ47" s="82"/>
      <c r="AK47" s="82"/>
      <c r="AL47" s="82"/>
      <c r="AM47" s="82"/>
      <c r="AN47" s="82"/>
    </row>
    <row r="48" spans="2:40" ht="6.75" customHeight="1" x14ac:dyDescent="0.25">
      <c r="B48" s="71" t="s">
        <v>32</v>
      </c>
      <c r="Q48" s="94" t="s">
        <v>130</v>
      </c>
      <c r="R48" s="81"/>
      <c r="S48" s="81"/>
      <c r="T48" s="81"/>
      <c r="U48" s="81"/>
      <c r="V48" s="81"/>
      <c r="W48" s="81"/>
      <c r="X48" s="81"/>
      <c r="Y48" s="82"/>
      <c r="Z48" s="82"/>
      <c r="AA48" s="82"/>
      <c r="AB48" s="82"/>
      <c r="AC48" s="82"/>
      <c r="AD48" s="82"/>
      <c r="AE48" s="82"/>
      <c r="AF48" s="82"/>
      <c r="AG48" s="82"/>
      <c r="AH48" s="82"/>
      <c r="AI48" s="82"/>
      <c r="AJ48" s="82"/>
      <c r="AK48" s="82"/>
      <c r="AL48" s="82"/>
      <c r="AM48" s="82"/>
      <c r="AN48" s="82"/>
    </row>
    <row r="49" spans="1:40" x14ac:dyDescent="0.25">
      <c r="Q49" s="94" t="s">
        <v>130</v>
      </c>
      <c r="R49" s="81"/>
      <c r="S49" s="81"/>
      <c r="T49" s="81"/>
      <c r="U49" s="81"/>
      <c r="V49" s="81"/>
      <c r="W49" s="81"/>
      <c r="X49" s="81"/>
      <c r="Y49" s="82"/>
      <c r="Z49" s="82"/>
      <c r="AA49" s="82"/>
      <c r="AB49" s="82"/>
      <c r="AC49" s="82"/>
      <c r="AD49" s="82"/>
      <c r="AE49" s="82"/>
      <c r="AF49" s="82"/>
      <c r="AG49" s="82"/>
      <c r="AH49" s="82"/>
      <c r="AI49" s="82"/>
      <c r="AJ49" s="82"/>
      <c r="AK49" s="82"/>
      <c r="AL49" s="82"/>
      <c r="AM49" s="82"/>
      <c r="AN49" s="82"/>
    </row>
    <row r="50" spans="1:40" ht="25.5" customHeight="1" x14ac:dyDescent="0.25">
      <c r="C50" s="317"/>
      <c r="D50" s="317"/>
      <c r="E50" s="318"/>
      <c r="F50" s="318" t="s">
        <v>0</v>
      </c>
      <c r="G50" s="318"/>
      <c r="H50" s="318"/>
      <c r="I50" s="318"/>
      <c r="J50" s="318"/>
      <c r="K50" s="318"/>
      <c r="L50" s="318"/>
      <c r="M50" s="318"/>
      <c r="N50" s="318"/>
      <c r="O50" s="318"/>
      <c r="Q50" s="94" t="s">
        <v>130</v>
      </c>
      <c r="R50" s="81"/>
      <c r="S50" s="81"/>
      <c r="T50" s="81"/>
      <c r="U50" s="81"/>
      <c r="V50" s="81"/>
      <c r="W50" s="81"/>
      <c r="X50" s="81"/>
      <c r="Y50" s="82"/>
      <c r="Z50" s="82"/>
      <c r="AA50" s="82"/>
      <c r="AB50" s="82"/>
      <c r="AC50" s="82"/>
      <c r="AD50" s="82"/>
      <c r="AE50" s="82"/>
      <c r="AF50" s="82"/>
      <c r="AG50" s="82"/>
      <c r="AH50" s="82"/>
      <c r="AI50" s="82"/>
      <c r="AJ50" s="82"/>
      <c r="AK50" s="82"/>
      <c r="AL50" s="82"/>
      <c r="AM50" s="82"/>
      <c r="AN50" s="82"/>
    </row>
    <row r="51" spans="1:40" ht="18" customHeight="1" x14ac:dyDescent="0.25">
      <c r="A51" s="72"/>
      <c r="B51" s="72"/>
      <c r="C51" s="72"/>
      <c r="D51" s="72"/>
      <c r="E51" s="72"/>
      <c r="F51" s="72"/>
      <c r="G51" s="72"/>
      <c r="H51" s="72"/>
      <c r="I51" s="72"/>
      <c r="J51" s="72"/>
      <c r="K51" s="72"/>
      <c r="L51" s="72"/>
      <c r="M51" s="72"/>
      <c r="N51" s="72"/>
      <c r="O51" s="72"/>
      <c r="Q51" s="94" t="s">
        <v>130</v>
      </c>
      <c r="R51" s="81"/>
      <c r="S51" s="81"/>
      <c r="T51" s="81"/>
      <c r="U51" s="81"/>
      <c r="V51" s="81"/>
      <c r="W51" s="81"/>
      <c r="X51" s="81"/>
      <c r="Y51" s="82"/>
      <c r="Z51" s="82"/>
      <c r="AA51" s="82"/>
      <c r="AB51" s="82"/>
      <c r="AC51" s="82"/>
      <c r="AD51" s="82"/>
      <c r="AE51" s="82"/>
      <c r="AF51" s="82"/>
      <c r="AG51" s="82"/>
      <c r="AH51" s="82"/>
      <c r="AI51" s="82"/>
      <c r="AJ51" s="82"/>
      <c r="AK51" s="82"/>
      <c r="AL51" s="82"/>
      <c r="AM51" s="82"/>
      <c r="AN51" s="82"/>
    </row>
    <row r="52" spans="1:40" ht="15.6" x14ac:dyDescent="0.25">
      <c r="A52" s="227"/>
      <c r="B52" s="230"/>
      <c r="C52" s="227"/>
      <c r="D52" s="77"/>
      <c r="E52" s="77"/>
      <c r="F52" s="77" t="s">
        <v>107</v>
      </c>
      <c r="G52" s="77"/>
      <c r="H52" s="77"/>
      <c r="I52" s="77"/>
      <c r="J52" s="233"/>
      <c r="K52" s="227"/>
      <c r="L52" s="227"/>
      <c r="M52" s="227"/>
      <c r="N52" s="227"/>
      <c r="O52" s="227"/>
      <c r="P52" s="232"/>
      <c r="Q52" s="94" t="s">
        <v>130</v>
      </c>
      <c r="R52" s="81"/>
      <c r="S52" s="81"/>
      <c r="T52" s="81"/>
      <c r="U52" s="81"/>
      <c r="V52" s="81"/>
      <c r="W52" s="81"/>
      <c r="X52" s="81"/>
      <c r="Y52" s="82"/>
      <c r="Z52" s="82"/>
      <c r="AA52" s="82"/>
      <c r="AB52" s="82"/>
      <c r="AC52" s="82"/>
      <c r="AD52" s="82"/>
      <c r="AE52" s="82"/>
      <c r="AF52" s="82"/>
      <c r="AG52" s="82"/>
      <c r="AH52" s="82"/>
      <c r="AI52" s="82"/>
      <c r="AJ52" s="82"/>
      <c r="AK52" s="82"/>
      <c r="AL52" s="82"/>
      <c r="AM52" s="82"/>
      <c r="AN52" s="82"/>
    </row>
    <row r="53" spans="1:40" ht="26.1" customHeight="1" x14ac:dyDescent="0.25">
      <c r="A53" s="227"/>
      <c r="B53" s="230"/>
      <c r="C53" s="227"/>
      <c r="D53" s="77"/>
      <c r="E53" s="77"/>
      <c r="F53" s="508" t="s">
        <v>108</v>
      </c>
      <c r="G53" s="508"/>
      <c r="H53" s="508"/>
      <c r="I53" s="234" t="s">
        <v>6</v>
      </c>
      <c r="J53" s="227"/>
      <c r="K53" s="227"/>
      <c r="L53" s="227"/>
      <c r="M53" s="227"/>
      <c r="N53" s="227"/>
      <c r="O53" s="227"/>
      <c r="P53" s="232"/>
      <c r="Q53" s="94" t="s">
        <v>130</v>
      </c>
      <c r="R53" s="81"/>
      <c r="S53" s="81"/>
      <c r="T53" s="81"/>
      <c r="U53" s="81"/>
      <c r="V53" s="81"/>
      <c r="W53" s="81"/>
      <c r="X53" s="81"/>
      <c r="Y53" s="82"/>
      <c r="Z53" s="82"/>
      <c r="AA53" s="82"/>
      <c r="AB53" s="82"/>
      <c r="AC53" s="82"/>
      <c r="AD53" s="82"/>
      <c r="AE53" s="82"/>
      <c r="AF53" s="82"/>
      <c r="AG53" s="82"/>
      <c r="AH53" s="82"/>
      <c r="AI53" s="82"/>
      <c r="AJ53" s="82"/>
      <c r="AK53" s="82"/>
      <c r="AL53" s="82"/>
      <c r="AM53" s="82"/>
      <c r="AN53" s="82"/>
    </row>
    <row r="54" spans="1:40" ht="26.1" customHeight="1" x14ac:dyDescent="0.25">
      <c r="A54" s="227"/>
      <c r="B54" s="230"/>
      <c r="C54" s="227"/>
      <c r="D54" s="77"/>
      <c r="E54" s="77"/>
      <c r="F54" s="227" t="s">
        <v>63</v>
      </c>
      <c r="G54" s="227"/>
      <c r="H54" s="227"/>
      <c r="I54" s="259">
        <f>'ادخال  التوقعات المالية'!D155*U1</f>
        <v>443000</v>
      </c>
      <c r="J54" s="227"/>
      <c r="K54" s="227"/>
      <c r="L54" s="227"/>
      <c r="M54" s="227"/>
      <c r="N54" s="227"/>
      <c r="O54" s="227"/>
      <c r="P54" s="232"/>
      <c r="Q54" s="94" t="s">
        <v>130</v>
      </c>
      <c r="R54" s="81"/>
      <c r="S54" s="81"/>
      <c r="T54" s="81"/>
      <c r="U54" s="81"/>
      <c r="V54" s="81"/>
      <c r="W54" s="81"/>
      <c r="X54" s="81"/>
      <c r="Y54" s="82"/>
      <c r="Z54" s="82"/>
      <c r="AA54" s="82"/>
      <c r="AB54" s="82"/>
      <c r="AC54" s="82"/>
      <c r="AD54" s="82"/>
      <c r="AE54" s="82"/>
      <c r="AF54" s="82"/>
      <c r="AG54" s="82"/>
      <c r="AH54" s="82"/>
      <c r="AI54" s="82"/>
      <c r="AJ54" s="82"/>
      <c r="AK54" s="82"/>
      <c r="AL54" s="82"/>
      <c r="AM54" s="82"/>
      <c r="AN54" s="82"/>
    </row>
    <row r="55" spans="1:40" ht="26.1" customHeight="1" x14ac:dyDescent="0.25">
      <c r="A55" s="227"/>
      <c r="B55" s="230"/>
      <c r="C55" s="227"/>
      <c r="D55" s="77"/>
      <c r="E55" s="77"/>
      <c r="F55" s="77"/>
      <c r="G55" s="77"/>
      <c r="H55" s="77"/>
      <c r="I55" s="267"/>
      <c r="J55" s="227"/>
      <c r="K55" s="227"/>
      <c r="L55" s="227"/>
      <c r="M55" s="227"/>
      <c r="N55" s="227"/>
      <c r="O55" s="227"/>
      <c r="P55" s="232"/>
      <c r="Q55" s="94" t="s">
        <v>130</v>
      </c>
      <c r="R55" s="81"/>
      <c r="S55" s="81"/>
      <c r="T55" s="81"/>
      <c r="U55" s="81"/>
      <c r="V55" s="81"/>
      <c r="W55" s="81"/>
      <c r="X55" s="81"/>
      <c r="Y55" s="82"/>
      <c r="Z55" s="82"/>
      <c r="AA55" s="82"/>
      <c r="AB55" s="82"/>
      <c r="AC55" s="82"/>
      <c r="AD55" s="82"/>
      <c r="AE55" s="82"/>
      <c r="AF55" s="82"/>
      <c r="AG55" s="82"/>
      <c r="AH55" s="82"/>
      <c r="AI55" s="82"/>
      <c r="AJ55" s="82"/>
      <c r="AK55" s="82"/>
      <c r="AL55" s="82"/>
      <c r="AM55" s="82"/>
      <c r="AN55" s="82"/>
    </row>
    <row r="56" spans="1:40" ht="26.1" customHeight="1" x14ac:dyDescent="0.25">
      <c r="A56" s="227"/>
      <c r="B56" s="230"/>
      <c r="C56" s="227"/>
      <c r="D56" s="77"/>
      <c r="E56" s="77"/>
      <c r="F56" s="234" t="s">
        <v>109</v>
      </c>
      <c r="G56" s="234"/>
      <c r="H56" s="234"/>
      <c r="I56" s="234"/>
      <c r="J56" s="227"/>
      <c r="K56" s="227"/>
      <c r="L56" s="227"/>
      <c r="M56" s="227"/>
      <c r="N56" s="227"/>
      <c r="O56" s="227"/>
      <c r="P56" s="232"/>
      <c r="Q56" s="94" t="s">
        <v>130</v>
      </c>
      <c r="R56" s="81"/>
      <c r="S56" s="81"/>
      <c r="T56" s="81"/>
      <c r="U56" s="81"/>
      <c r="V56" s="81"/>
      <c r="W56" s="81"/>
      <c r="X56" s="81"/>
      <c r="Y56" s="82"/>
      <c r="Z56" s="82"/>
      <c r="AA56" s="82"/>
      <c r="AB56" s="82"/>
      <c r="AC56" s="82"/>
      <c r="AD56" s="82"/>
      <c r="AE56" s="82"/>
      <c r="AF56" s="82"/>
      <c r="AG56" s="82"/>
      <c r="AH56" s="82"/>
      <c r="AI56" s="82"/>
      <c r="AJ56" s="82"/>
      <c r="AK56" s="82"/>
      <c r="AL56" s="82"/>
      <c r="AM56" s="82"/>
      <c r="AN56" s="82"/>
    </row>
    <row r="57" spans="1:40" ht="21" customHeight="1" x14ac:dyDescent="0.25">
      <c r="A57" s="227"/>
      <c r="B57" s="230"/>
      <c r="C57" s="227"/>
      <c r="D57" s="77"/>
      <c r="E57" s="77"/>
      <c r="F57" s="510" t="s">
        <v>66</v>
      </c>
      <c r="G57" s="510"/>
      <c r="H57" s="510"/>
      <c r="I57" s="259">
        <f>'ادخال  التوقعات المالية'!D158*U1</f>
        <v>450000</v>
      </c>
      <c r="J57" s="227"/>
      <c r="K57" s="227"/>
      <c r="L57" s="227"/>
      <c r="M57" s="227"/>
      <c r="N57" s="227"/>
      <c r="O57" s="227"/>
      <c r="P57" s="232"/>
      <c r="Q57" s="94" t="str">
        <f>IF(I57&gt;0,"Yes","-")</f>
        <v>Yes</v>
      </c>
      <c r="R57" s="81"/>
      <c r="S57" s="81"/>
      <c r="T57" s="81"/>
      <c r="U57" s="81"/>
      <c r="V57" s="81"/>
      <c r="W57" s="81"/>
      <c r="X57" s="81"/>
      <c r="Y57" s="82"/>
      <c r="Z57" s="82"/>
      <c r="AA57" s="82"/>
      <c r="AB57" s="82"/>
      <c r="AC57" s="82"/>
      <c r="AD57" s="82"/>
      <c r="AE57" s="82"/>
      <c r="AF57" s="82"/>
      <c r="AG57" s="82"/>
      <c r="AH57" s="82"/>
      <c r="AI57" s="82"/>
      <c r="AJ57" s="82"/>
      <c r="AK57" s="82"/>
      <c r="AL57" s="82"/>
      <c r="AM57" s="82"/>
      <c r="AN57" s="82"/>
    </row>
    <row r="58" spans="1:40" ht="21" customHeight="1" x14ac:dyDescent="0.25">
      <c r="A58" s="227"/>
      <c r="B58" s="230"/>
      <c r="C58" s="227"/>
      <c r="D58" s="77"/>
      <c r="E58" s="77"/>
      <c r="F58" s="510" t="s">
        <v>105</v>
      </c>
      <c r="G58" s="510"/>
      <c r="H58" s="510"/>
      <c r="I58" s="259">
        <f>'ادخال  التوقعات المالية'!D159*U1</f>
        <v>456860.35</v>
      </c>
      <c r="J58" s="227"/>
      <c r="K58" s="227"/>
      <c r="L58" s="227"/>
      <c r="M58" s="227"/>
      <c r="N58" s="227"/>
      <c r="O58" s="227"/>
      <c r="P58" s="232"/>
      <c r="Q58" s="94" t="str">
        <f>IF(I58&gt;0,"Yes","-")</f>
        <v>Yes</v>
      </c>
      <c r="R58" s="81"/>
      <c r="S58" s="81"/>
      <c r="T58" s="81"/>
      <c r="U58" s="81"/>
      <c r="V58" s="81"/>
      <c r="W58" s="81"/>
      <c r="X58" s="81"/>
      <c r="Y58" s="82"/>
      <c r="Z58" s="82"/>
      <c r="AA58" s="82"/>
      <c r="AB58" s="82"/>
      <c r="AC58" s="82"/>
      <c r="AD58" s="82"/>
      <c r="AE58" s="82"/>
      <c r="AF58" s="82"/>
      <c r="AG58" s="82"/>
      <c r="AH58" s="82"/>
      <c r="AI58" s="82"/>
      <c r="AJ58" s="82"/>
      <c r="AK58" s="82"/>
      <c r="AL58" s="82"/>
      <c r="AM58" s="82"/>
      <c r="AN58" s="82"/>
    </row>
    <row r="59" spans="1:40" ht="21" customHeight="1" x14ac:dyDescent="0.25">
      <c r="A59" s="227"/>
      <c r="B59" s="230"/>
      <c r="C59" s="227"/>
      <c r="D59" s="77"/>
      <c r="E59" s="77"/>
      <c r="F59" s="510" t="s">
        <v>93</v>
      </c>
      <c r="G59" s="510"/>
      <c r="H59" s="510"/>
      <c r="I59" s="259">
        <f>'ادخال  التوقعات المالية'!D160*U1</f>
        <v>459500</v>
      </c>
      <c r="J59" s="227"/>
      <c r="K59" s="227"/>
      <c r="L59" s="227"/>
      <c r="M59" s="227"/>
      <c r="N59" s="227"/>
      <c r="O59" s="227"/>
      <c r="P59" s="232"/>
      <c r="Q59" s="94" t="str">
        <f>IF(I59&gt;0,"Yes","-")</f>
        <v>Yes</v>
      </c>
      <c r="R59" s="81"/>
      <c r="S59" s="81"/>
      <c r="T59" s="81"/>
      <c r="U59" s="81"/>
      <c r="V59" s="81"/>
      <c r="W59" s="81"/>
      <c r="X59" s="81"/>
      <c r="Y59" s="82"/>
      <c r="Z59" s="82"/>
      <c r="AA59" s="82"/>
      <c r="AB59" s="82"/>
      <c r="AC59" s="82"/>
      <c r="AD59" s="82"/>
      <c r="AE59" s="82"/>
      <c r="AF59" s="82"/>
      <c r="AG59" s="82"/>
      <c r="AH59" s="82"/>
      <c r="AI59" s="82"/>
      <c r="AJ59" s="82"/>
      <c r="AK59" s="82"/>
      <c r="AL59" s="82"/>
      <c r="AM59" s="82"/>
      <c r="AN59" s="82"/>
    </row>
    <row r="60" spans="1:40" ht="21" customHeight="1" x14ac:dyDescent="0.25">
      <c r="A60" s="227"/>
      <c r="B60" s="230"/>
      <c r="C60" s="227"/>
      <c r="D60" s="77"/>
      <c r="E60" s="77"/>
      <c r="F60" s="511" t="s">
        <v>111</v>
      </c>
      <c r="G60" s="511"/>
      <c r="H60" s="511"/>
      <c r="I60" s="259">
        <f>'ادخال  التوقعات المالية'!D161*U1</f>
        <v>33333.333333333336</v>
      </c>
      <c r="J60" s="227"/>
      <c r="K60" s="227"/>
      <c r="L60" s="227"/>
      <c r="M60" s="227"/>
      <c r="N60" s="227"/>
      <c r="O60" s="227"/>
      <c r="P60" s="232"/>
      <c r="Q60" s="94" t="str">
        <f>IF(I60&gt;0,"Yes","-")</f>
        <v>Yes</v>
      </c>
      <c r="R60" s="81"/>
      <c r="S60" s="81"/>
      <c r="T60" s="81"/>
      <c r="U60" s="81"/>
      <c r="V60" s="81"/>
      <c r="W60" s="81"/>
      <c r="X60" s="81"/>
      <c r="Y60" s="82"/>
      <c r="Z60" s="82"/>
      <c r="AA60" s="82"/>
      <c r="AB60" s="82"/>
      <c r="AC60" s="82"/>
      <c r="AD60" s="82"/>
      <c r="AE60" s="82"/>
      <c r="AF60" s="82"/>
      <c r="AG60" s="82"/>
      <c r="AH60" s="82"/>
      <c r="AI60" s="82"/>
      <c r="AJ60" s="82"/>
      <c r="AK60" s="82"/>
      <c r="AL60" s="82"/>
      <c r="AM60" s="82"/>
      <c r="AN60" s="82"/>
    </row>
    <row r="61" spans="1:40" ht="26.1" customHeight="1" thickBot="1" x14ac:dyDescent="0.3">
      <c r="A61" s="227"/>
      <c r="B61" s="230"/>
      <c r="C61" s="227"/>
      <c r="D61" s="77"/>
      <c r="E61" s="77"/>
      <c r="F61" s="236" t="s">
        <v>6</v>
      </c>
      <c r="G61" s="236"/>
      <c r="H61" s="236"/>
      <c r="I61" s="340">
        <f>SUM(I54:I60)</f>
        <v>1842693.6833333333</v>
      </c>
      <c r="J61" s="227"/>
      <c r="K61" s="227"/>
      <c r="L61" s="227"/>
      <c r="M61" s="227"/>
      <c r="N61" s="227"/>
      <c r="O61" s="227"/>
      <c r="P61" s="232"/>
      <c r="Q61" s="94" t="s">
        <v>130</v>
      </c>
      <c r="R61" s="81"/>
      <c r="S61" s="81"/>
      <c r="T61" s="81"/>
      <c r="U61" s="81"/>
      <c r="V61" s="81"/>
      <c r="W61" s="81"/>
      <c r="X61" s="81"/>
      <c r="Y61" s="82"/>
      <c r="Z61" s="82"/>
      <c r="AA61" s="82"/>
      <c r="AB61" s="82"/>
      <c r="AC61" s="82"/>
      <c r="AD61" s="82"/>
      <c r="AE61" s="82"/>
      <c r="AF61" s="82"/>
      <c r="AG61" s="82"/>
      <c r="AH61" s="82"/>
      <c r="AI61" s="82"/>
      <c r="AJ61" s="82"/>
      <c r="AK61" s="82"/>
      <c r="AL61" s="82"/>
      <c r="AM61" s="82"/>
      <c r="AN61" s="82"/>
    </row>
    <row r="62" spans="1:40" ht="10.5" customHeight="1" thickTop="1" x14ac:dyDescent="0.25">
      <c r="A62" s="227"/>
      <c r="B62" s="230"/>
      <c r="C62" s="227"/>
      <c r="D62" s="77"/>
      <c r="E62" s="77"/>
      <c r="F62" s="509"/>
      <c r="G62" s="509"/>
      <c r="H62" s="77"/>
      <c r="I62" s="77"/>
      <c r="J62" s="280"/>
      <c r="K62" s="227"/>
      <c r="L62" s="227"/>
      <c r="M62" s="227"/>
      <c r="N62" s="227"/>
      <c r="O62" s="227"/>
      <c r="P62" s="232"/>
      <c r="Q62" s="94" t="s">
        <v>130</v>
      </c>
      <c r="R62" s="81"/>
      <c r="S62" s="81"/>
      <c r="T62" s="81"/>
      <c r="U62" s="81"/>
      <c r="V62" s="81"/>
      <c r="W62" s="81"/>
      <c r="X62" s="81"/>
      <c r="Y62" s="82"/>
      <c r="Z62" s="82"/>
      <c r="AA62" s="82"/>
      <c r="AB62" s="82"/>
      <c r="AC62" s="82"/>
      <c r="AD62" s="82"/>
      <c r="AE62" s="82"/>
      <c r="AF62" s="82"/>
      <c r="AG62" s="82"/>
      <c r="AH62" s="82"/>
      <c r="AI62" s="82"/>
      <c r="AJ62" s="82"/>
      <c r="AK62" s="82"/>
      <c r="AL62" s="82"/>
      <c r="AM62" s="82"/>
      <c r="AN62" s="82"/>
    </row>
    <row r="63" spans="1:40" ht="10.5" customHeight="1" x14ac:dyDescent="0.25">
      <c r="A63" s="227"/>
      <c r="B63" s="230"/>
      <c r="C63" s="227"/>
      <c r="D63" s="77"/>
      <c r="E63" s="77"/>
      <c r="F63" s="233"/>
      <c r="G63" s="233"/>
      <c r="H63" s="233"/>
      <c r="I63" s="233"/>
      <c r="J63" s="233"/>
      <c r="K63" s="227"/>
      <c r="L63" s="227"/>
      <c r="M63" s="227"/>
      <c r="N63" s="227"/>
      <c r="O63" s="227"/>
      <c r="P63" s="232"/>
      <c r="Q63" s="94" t="s">
        <v>130</v>
      </c>
      <c r="R63" s="81"/>
      <c r="S63" s="81"/>
      <c r="T63" s="81"/>
      <c r="U63" s="81"/>
      <c r="V63" s="81"/>
      <c r="W63" s="81"/>
      <c r="X63" s="81"/>
      <c r="Y63" s="82"/>
      <c r="Z63" s="82"/>
      <c r="AA63" s="82"/>
      <c r="AB63" s="82"/>
      <c r="AC63" s="82"/>
      <c r="AD63" s="82"/>
      <c r="AE63" s="82"/>
      <c r="AF63" s="82"/>
      <c r="AG63" s="82"/>
      <c r="AH63" s="82"/>
      <c r="AI63" s="82"/>
      <c r="AJ63" s="82"/>
      <c r="AK63" s="82"/>
      <c r="AL63" s="82"/>
      <c r="AM63" s="82"/>
      <c r="AN63" s="82"/>
    </row>
    <row r="64" spans="1:40" ht="15.6" x14ac:dyDescent="0.25">
      <c r="A64" s="227"/>
      <c r="B64" s="230" t="s">
        <v>32</v>
      </c>
      <c r="C64" s="227"/>
      <c r="D64" s="227"/>
      <c r="E64" s="227"/>
      <c r="F64" s="77" t="s">
        <v>27</v>
      </c>
      <c r="G64" s="227"/>
      <c r="H64" s="227"/>
      <c r="I64" s="231"/>
      <c r="J64" s="227"/>
      <c r="K64" s="227"/>
      <c r="L64" s="227"/>
      <c r="M64" s="227"/>
      <c r="N64" s="227"/>
      <c r="O64" s="227"/>
      <c r="P64" s="232"/>
      <c r="Q64" s="94" t="s">
        <v>130</v>
      </c>
      <c r="R64" s="81"/>
      <c r="S64" s="81"/>
      <c r="T64" s="81"/>
      <c r="U64" s="81"/>
      <c r="V64" s="81"/>
      <c r="W64" s="81"/>
      <c r="X64" s="81"/>
      <c r="Y64" s="82"/>
      <c r="Z64" s="82"/>
      <c r="AA64" s="82"/>
      <c r="AB64" s="82"/>
      <c r="AC64" s="82"/>
      <c r="AD64" s="82"/>
      <c r="AE64" s="82"/>
      <c r="AF64" s="82"/>
      <c r="AG64" s="82"/>
      <c r="AH64" s="82"/>
      <c r="AI64" s="82"/>
      <c r="AJ64" s="82"/>
      <c r="AK64" s="82"/>
      <c r="AL64" s="82"/>
      <c r="AM64" s="82"/>
      <c r="AN64" s="82"/>
    </row>
    <row r="65" spans="1:40" ht="26.1" customHeight="1" x14ac:dyDescent="0.25">
      <c r="A65" s="227"/>
      <c r="B65" s="230" t="s">
        <v>32</v>
      </c>
      <c r="C65" s="227"/>
      <c r="D65" s="227"/>
      <c r="E65" s="227"/>
      <c r="F65" s="234" t="s">
        <v>31</v>
      </c>
      <c r="G65" s="234"/>
      <c r="H65" s="234"/>
      <c r="I65" s="234" t="s">
        <v>70</v>
      </c>
      <c r="J65" s="227"/>
      <c r="K65" s="227"/>
      <c r="L65" s="227"/>
      <c r="M65" s="227"/>
      <c r="N65" s="227"/>
      <c r="O65" s="227"/>
      <c r="P65" s="232"/>
      <c r="Q65" s="94" t="s">
        <v>130</v>
      </c>
      <c r="R65" s="81"/>
      <c r="S65" s="81"/>
      <c r="T65" s="81"/>
      <c r="U65" s="81"/>
      <c r="V65" s="81"/>
      <c r="W65" s="81"/>
      <c r="X65" s="81"/>
      <c r="Y65" s="82"/>
      <c r="Z65" s="82"/>
      <c r="AA65" s="82"/>
      <c r="AB65" s="82"/>
      <c r="AC65" s="82"/>
      <c r="AD65" s="82"/>
      <c r="AE65" s="82"/>
      <c r="AF65" s="82"/>
      <c r="AG65" s="82"/>
      <c r="AH65" s="82"/>
      <c r="AI65" s="82"/>
      <c r="AJ65" s="82"/>
      <c r="AK65" s="82"/>
      <c r="AL65" s="82"/>
      <c r="AM65" s="82"/>
      <c r="AN65" s="82"/>
    </row>
    <row r="66" spans="1:40" ht="18.45" customHeight="1" x14ac:dyDescent="0.25">
      <c r="A66" s="227"/>
      <c r="B66" s="230" t="s">
        <v>32</v>
      </c>
      <c r="C66" s="227"/>
      <c r="D66" s="227"/>
      <c r="E66" s="227"/>
      <c r="F66" s="227" t="str">
        <f>'ادخال  التوقعات المالية'!C168</f>
        <v>المبلغ</v>
      </c>
      <c r="G66" s="227"/>
      <c r="H66" s="227"/>
      <c r="I66" s="235">
        <f>'ادخال  التوقعات المالية'!C169*$U$1</f>
        <v>1200000</v>
      </c>
      <c r="J66" s="227"/>
      <c r="K66" s="227"/>
      <c r="L66" s="227"/>
      <c r="M66" s="227"/>
      <c r="N66" s="227"/>
      <c r="O66" s="227"/>
      <c r="P66" s="232"/>
      <c r="Q66" s="94" t="str">
        <f>IF(I66&gt;0,"Yes","-")</f>
        <v>Yes</v>
      </c>
      <c r="R66" s="81"/>
      <c r="S66" s="81"/>
      <c r="T66" s="81"/>
      <c r="U66" s="81"/>
      <c r="V66" s="81"/>
      <c r="W66" s="81"/>
      <c r="X66" s="81"/>
      <c r="Y66" s="82"/>
      <c r="Z66" s="82"/>
      <c r="AA66" s="82"/>
      <c r="AB66" s="82"/>
      <c r="AC66" s="82"/>
      <c r="AD66" s="82"/>
      <c r="AE66" s="82"/>
      <c r="AF66" s="82"/>
      <c r="AG66" s="82"/>
      <c r="AH66" s="82"/>
      <c r="AI66" s="82"/>
      <c r="AJ66" s="82"/>
      <c r="AK66" s="82"/>
      <c r="AL66" s="82"/>
      <c r="AM66" s="82"/>
      <c r="AN66" s="82"/>
    </row>
    <row r="67" spans="1:40" ht="18.45" customHeight="1" x14ac:dyDescent="0.25">
      <c r="A67" s="227"/>
      <c r="B67" s="230"/>
      <c r="C67" s="227"/>
      <c r="D67" s="227"/>
      <c r="E67" s="227"/>
      <c r="F67" s="227" t="str">
        <f>'ادخال  التوقعات المالية'!D168</f>
        <v>النسبة</v>
      </c>
      <c r="G67" s="227"/>
      <c r="H67" s="227"/>
      <c r="I67" s="235">
        <f>'ادخال  التوقعات المالية'!C170*U1</f>
        <v>400000</v>
      </c>
      <c r="J67" s="227"/>
      <c r="K67" s="227"/>
      <c r="L67" s="227"/>
      <c r="M67" s="227"/>
      <c r="N67" s="227"/>
      <c r="O67" s="227"/>
      <c r="P67" s="232"/>
      <c r="Q67" s="94" t="str">
        <f>IF(I67&gt;0,"Yes","-")</f>
        <v>Yes</v>
      </c>
      <c r="R67" s="81"/>
      <c r="S67" s="81"/>
      <c r="T67" s="81"/>
      <c r="U67" s="81"/>
      <c r="V67" s="81"/>
      <c r="W67" s="81"/>
      <c r="X67" s="81"/>
      <c r="Y67" s="82"/>
      <c r="Z67" s="82"/>
      <c r="AA67" s="82"/>
      <c r="AB67" s="82"/>
      <c r="AC67" s="82"/>
      <c r="AD67" s="82"/>
      <c r="AE67" s="82"/>
      <c r="AF67" s="82"/>
      <c r="AG67" s="82"/>
      <c r="AH67" s="82"/>
      <c r="AI67" s="82"/>
      <c r="AJ67" s="82"/>
      <c r="AK67" s="82"/>
      <c r="AL67" s="82"/>
      <c r="AM67" s="82"/>
      <c r="AN67" s="82"/>
    </row>
    <row r="68" spans="1:40" ht="18.45" customHeight="1" x14ac:dyDescent="0.25">
      <c r="A68" s="227"/>
      <c r="B68" s="230" t="s">
        <v>32</v>
      </c>
      <c r="C68" s="227"/>
      <c r="D68" s="227"/>
      <c r="E68" s="227"/>
      <c r="F68" s="227">
        <f>'ادخال  التوقعات المالية'!E168</f>
        <v>0</v>
      </c>
      <c r="G68" s="227"/>
      <c r="H68" s="227"/>
      <c r="I68" s="337">
        <f>'ادخال  التوقعات المالية'!C171*U1</f>
        <v>800000</v>
      </c>
      <c r="J68" s="227"/>
      <c r="K68" s="227"/>
      <c r="L68" s="227"/>
      <c r="M68" s="227"/>
      <c r="N68" s="227"/>
      <c r="O68" s="227"/>
      <c r="P68" s="232"/>
      <c r="Q68" s="94" t="str">
        <f>IF(I68&gt;0,"Yes","-")</f>
        <v>Yes</v>
      </c>
      <c r="R68" s="81"/>
      <c r="S68" s="81"/>
      <c r="T68" s="81"/>
      <c r="U68" s="81"/>
      <c r="V68" s="81"/>
      <c r="W68" s="81"/>
      <c r="X68" s="81"/>
      <c r="Y68" s="82"/>
      <c r="Z68" s="82"/>
      <c r="AA68" s="82"/>
      <c r="AB68" s="82"/>
      <c r="AC68" s="82"/>
      <c r="AD68" s="82"/>
      <c r="AE68" s="82"/>
      <c r="AF68" s="82"/>
      <c r="AG68" s="82"/>
      <c r="AH68" s="82"/>
      <c r="AI68" s="82"/>
      <c r="AJ68" s="82"/>
      <c r="AK68" s="82"/>
      <c r="AL68" s="82"/>
      <c r="AM68" s="82"/>
      <c r="AN68" s="82"/>
    </row>
    <row r="69" spans="1:40" ht="26.1" customHeight="1" thickBot="1" x14ac:dyDescent="0.3">
      <c r="A69" s="227"/>
      <c r="B69" s="230" t="s">
        <v>32</v>
      </c>
      <c r="C69" s="227"/>
      <c r="D69" s="227"/>
      <c r="E69" s="227"/>
      <c r="F69" s="236" t="s">
        <v>88</v>
      </c>
      <c r="G69" s="236"/>
      <c r="H69" s="236"/>
      <c r="I69" s="237">
        <f>I66+I68+I67</f>
        <v>2400000</v>
      </c>
      <c r="J69" s="227"/>
      <c r="K69" s="227"/>
      <c r="L69" s="227"/>
      <c r="M69" s="227"/>
      <c r="N69" s="227"/>
      <c r="O69" s="227"/>
      <c r="P69" s="232"/>
      <c r="Q69" s="94" t="str">
        <f>IF(I69&gt;0,"Yes","-")</f>
        <v>Yes</v>
      </c>
      <c r="R69" s="81"/>
      <c r="S69" s="81"/>
      <c r="T69" s="81"/>
      <c r="U69" s="81"/>
      <c r="V69" s="81"/>
      <c r="W69" s="81"/>
      <c r="X69" s="81"/>
      <c r="Y69" s="82"/>
      <c r="Z69" s="82"/>
      <c r="AA69" s="82"/>
      <c r="AB69" s="82"/>
      <c r="AC69" s="82"/>
      <c r="AD69" s="82"/>
      <c r="AE69" s="82"/>
      <c r="AF69" s="82"/>
      <c r="AG69" s="82"/>
      <c r="AH69" s="82"/>
      <c r="AI69" s="82"/>
      <c r="AJ69" s="82"/>
      <c r="AK69" s="82"/>
      <c r="AL69" s="82"/>
      <c r="AM69" s="82"/>
      <c r="AN69" s="82"/>
    </row>
    <row r="70" spans="1:40" ht="15.6" thickTop="1" x14ac:dyDescent="0.25">
      <c r="A70" s="227"/>
      <c r="B70" s="230" t="s">
        <v>32</v>
      </c>
      <c r="C70" s="227"/>
      <c r="D70" s="227"/>
      <c r="E70" s="227"/>
      <c r="F70" s="227"/>
      <c r="G70" s="227"/>
      <c r="H70" s="227"/>
      <c r="I70" s="231"/>
      <c r="J70" s="227"/>
      <c r="K70" s="227"/>
      <c r="L70" s="227"/>
      <c r="M70" s="227"/>
      <c r="N70" s="227"/>
      <c r="O70" s="227"/>
      <c r="P70" s="232"/>
      <c r="Q70" s="94" t="s">
        <v>130</v>
      </c>
      <c r="R70" s="81"/>
      <c r="S70" s="81"/>
      <c r="T70" s="81"/>
      <c r="U70" s="81"/>
      <c r="V70" s="81"/>
      <c r="W70" s="81"/>
      <c r="X70" s="81"/>
      <c r="Y70" s="82"/>
      <c r="Z70" s="82"/>
      <c r="AA70" s="82"/>
      <c r="AB70" s="82"/>
      <c r="AC70" s="82"/>
      <c r="AD70" s="82"/>
      <c r="AE70" s="82"/>
      <c r="AF70" s="82"/>
      <c r="AG70" s="82"/>
      <c r="AH70" s="82"/>
      <c r="AI70" s="82"/>
      <c r="AJ70" s="82"/>
      <c r="AK70" s="82"/>
      <c r="AL70" s="82"/>
      <c r="AM70" s="82"/>
      <c r="AN70" s="82"/>
    </row>
    <row r="71" spans="1:40" ht="15" x14ac:dyDescent="0.25">
      <c r="A71" s="227"/>
      <c r="B71" s="230" t="s">
        <v>32</v>
      </c>
      <c r="C71" s="227"/>
      <c r="D71" s="227"/>
      <c r="E71" s="227"/>
      <c r="F71" s="227"/>
      <c r="G71" s="227"/>
      <c r="H71" s="227"/>
      <c r="I71" s="231"/>
      <c r="J71" s="227"/>
      <c r="K71" s="227"/>
      <c r="L71" s="227"/>
      <c r="M71" s="227"/>
      <c r="N71" s="227"/>
      <c r="O71" s="227"/>
      <c r="P71" s="232"/>
      <c r="Q71" s="94" t="s">
        <v>130</v>
      </c>
      <c r="R71" s="81"/>
      <c r="S71" s="81"/>
      <c r="T71" s="81"/>
      <c r="U71" s="81"/>
      <c r="V71" s="81"/>
      <c r="W71" s="81"/>
      <c r="X71" s="81"/>
      <c r="Y71" s="82"/>
      <c r="Z71" s="82"/>
      <c r="AA71" s="82"/>
      <c r="AB71" s="82"/>
      <c r="AC71" s="82"/>
      <c r="AD71" s="82"/>
      <c r="AE71" s="82"/>
      <c r="AF71" s="82"/>
      <c r="AG71" s="82"/>
      <c r="AH71" s="82"/>
      <c r="AI71" s="82"/>
      <c r="AJ71" s="82"/>
      <c r="AK71" s="82"/>
      <c r="AL71" s="82"/>
      <c r="AM71" s="82"/>
      <c r="AN71" s="82"/>
    </row>
    <row r="72" spans="1:40" ht="15" x14ac:dyDescent="0.25">
      <c r="A72" s="227"/>
      <c r="B72" s="230" t="s">
        <v>32</v>
      </c>
      <c r="C72" s="227"/>
      <c r="D72" s="227"/>
      <c r="E72" s="227"/>
      <c r="F72" s="227"/>
      <c r="G72" s="227"/>
      <c r="H72" s="227"/>
      <c r="I72" s="231"/>
      <c r="J72" s="227"/>
      <c r="K72" s="227"/>
      <c r="L72" s="227"/>
      <c r="M72" s="227"/>
      <c r="N72" s="227"/>
      <c r="O72" s="227"/>
      <c r="P72" s="232"/>
      <c r="Q72" s="94" t="s">
        <v>130</v>
      </c>
      <c r="R72" s="81"/>
      <c r="S72" s="81"/>
      <c r="T72" s="81"/>
      <c r="U72" s="81"/>
      <c r="V72" s="81"/>
      <c r="W72" s="81"/>
      <c r="X72" s="81"/>
      <c r="Y72" s="82"/>
      <c r="Z72" s="82"/>
      <c r="AA72" s="82"/>
      <c r="AB72" s="82"/>
      <c r="AC72" s="82"/>
      <c r="AD72" s="82"/>
      <c r="AE72" s="82"/>
      <c r="AF72" s="82"/>
      <c r="AG72" s="82"/>
      <c r="AH72" s="82"/>
      <c r="AI72" s="82"/>
      <c r="AJ72" s="82"/>
      <c r="AK72" s="82"/>
      <c r="AL72" s="82"/>
      <c r="AM72" s="82"/>
      <c r="AN72" s="82"/>
    </row>
    <row r="73" spans="1:40" ht="15" x14ac:dyDescent="0.25">
      <c r="A73" s="227"/>
      <c r="B73" s="230" t="s">
        <v>32</v>
      </c>
      <c r="C73" s="227"/>
      <c r="D73" s="227"/>
      <c r="E73" s="227"/>
      <c r="F73" s="227"/>
      <c r="G73" s="227"/>
      <c r="H73" s="227"/>
      <c r="I73" s="231"/>
      <c r="J73" s="227"/>
      <c r="K73" s="227"/>
      <c r="L73" s="227"/>
      <c r="M73" s="227"/>
      <c r="N73" s="227"/>
      <c r="O73" s="227"/>
      <c r="P73" s="232"/>
      <c r="Q73" s="94" t="s">
        <v>130</v>
      </c>
      <c r="R73" s="81"/>
      <c r="S73" s="81"/>
      <c r="T73" s="81"/>
      <c r="U73" s="81"/>
      <c r="V73" s="81"/>
      <c r="W73" s="81"/>
      <c r="X73" s="81"/>
      <c r="Y73" s="82"/>
      <c r="Z73" s="82"/>
      <c r="AA73" s="82"/>
      <c r="AB73" s="82"/>
      <c r="AC73" s="82"/>
      <c r="AD73" s="82"/>
      <c r="AE73" s="82"/>
      <c r="AF73" s="82"/>
      <c r="AG73" s="82"/>
      <c r="AH73" s="82"/>
      <c r="AI73" s="82"/>
      <c r="AJ73" s="82"/>
      <c r="AK73" s="82"/>
      <c r="AL73" s="82"/>
      <c r="AM73" s="82"/>
      <c r="AN73" s="82"/>
    </row>
    <row r="74" spans="1:40" ht="15" x14ac:dyDescent="0.25">
      <c r="A74" s="227"/>
      <c r="B74" s="230" t="s">
        <v>32</v>
      </c>
      <c r="C74" s="227"/>
      <c r="D74" s="227"/>
      <c r="E74" s="227"/>
      <c r="F74" s="227"/>
      <c r="G74" s="227"/>
      <c r="H74" s="227"/>
      <c r="I74" s="231"/>
      <c r="J74" s="227"/>
      <c r="K74" s="227"/>
      <c r="L74" s="227"/>
      <c r="M74" s="227"/>
      <c r="N74" s="227"/>
      <c r="O74" s="227"/>
      <c r="P74" s="232"/>
      <c r="Q74" s="94" t="s">
        <v>130</v>
      </c>
      <c r="R74" s="81"/>
      <c r="S74" s="81"/>
      <c r="T74" s="81"/>
      <c r="U74" s="81"/>
      <c r="V74" s="81"/>
      <c r="W74" s="81"/>
      <c r="X74" s="81"/>
      <c r="Y74" s="82"/>
      <c r="Z74" s="82"/>
      <c r="AA74" s="82"/>
      <c r="AB74" s="82"/>
      <c r="AC74" s="82"/>
      <c r="AD74" s="82"/>
      <c r="AE74" s="82"/>
      <c r="AF74" s="82"/>
      <c r="AG74" s="82"/>
      <c r="AH74" s="82"/>
      <c r="AI74" s="82"/>
      <c r="AJ74" s="82"/>
      <c r="AK74" s="82"/>
      <c r="AL74" s="82"/>
      <c r="AM74" s="82"/>
      <c r="AN74" s="82"/>
    </row>
    <row r="75" spans="1:40" ht="15" x14ac:dyDescent="0.25">
      <c r="A75" s="227"/>
      <c r="B75" s="230"/>
      <c r="C75" s="227"/>
      <c r="D75" s="227"/>
      <c r="E75" s="227"/>
      <c r="F75" s="227"/>
      <c r="G75" s="227"/>
      <c r="H75" s="227"/>
      <c r="I75" s="231"/>
      <c r="J75" s="227"/>
      <c r="K75" s="227"/>
      <c r="L75" s="227"/>
      <c r="M75" s="227"/>
      <c r="N75" s="227"/>
      <c r="O75" s="227"/>
      <c r="P75" s="232"/>
      <c r="Q75" s="94" t="s">
        <v>130</v>
      </c>
      <c r="R75" s="81"/>
      <c r="S75" s="81"/>
      <c r="T75" s="81"/>
      <c r="U75" s="81"/>
      <c r="V75" s="81"/>
      <c r="W75" s="81"/>
      <c r="X75" s="81"/>
      <c r="Y75" s="82"/>
      <c r="Z75" s="82"/>
      <c r="AA75" s="82"/>
      <c r="AB75" s="82"/>
      <c r="AC75" s="82"/>
      <c r="AD75" s="82"/>
      <c r="AE75" s="82"/>
      <c r="AF75" s="82"/>
      <c r="AG75" s="82"/>
      <c r="AH75" s="82"/>
      <c r="AI75" s="82"/>
      <c r="AJ75" s="82"/>
      <c r="AK75" s="82"/>
      <c r="AL75" s="82"/>
      <c r="AM75" s="82"/>
      <c r="AN75" s="82"/>
    </row>
    <row r="76" spans="1:40" ht="15" x14ac:dyDescent="0.25">
      <c r="A76" s="227"/>
      <c r="B76" s="230"/>
      <c r="C76" s="227"/>
      <c r="D76" s="227"/>
      <c r="E76" s="227"/>
      <c r="F76" s="227"/>
      <c r="G76" s="227"/>
      <c r="H76" s="227"/>
      <c r="I76" s="231"/>
      <c r="J76" s="227"/>
      <c r="K76" s="227"/>
      <c r="L76" s="227"/>
      <c r="M76" s="227"/>
      <c r="N76" s="227"/>
      <c r="O76" s="227"/>
      <c r="P76" s="232"/>
      <c r="Q76" s="94" t="s">
        <v>130</v>
      </c>
      <c r="R76" s="81"/>
      <c r="S76" s="81"/>
      <c r="T76" s="81"/>
      <c r="U76" s="81"/>
      <c r="V76" s="81"/>
      <c r="W76" s="81"/>
      <c r="X76" s="81"/>
      <c r="Y76" s="82"/>
      <c r="Z76" s="82"/>
      <c r="AA76" s="82"/>
      <c r="AB76" s="82"/>
      <c r="AC76" s="82"/>
      <c r="AD76" s="82"/>
      <c r="AE76" s="82"/>
      <c r="AF76" s="82"/>
      <c r="AG76" s="82"/>
      <c r="AH76" s="82"/>
      <c r="AI76" s="82"/>
      <c r="AJ76" s="82"/>
      <c r="AK76" s="82"/>
      <c r="AL76" s="82"/>
      <c r="AM76" s="82"/>
      <c r="AN76" s="82"/>
    </row>
    <row r="77" spans="1:40" ht="15" x14ac:dyDescent="0.25">
      <c r="A77" s="227"/>
      <c r="B77" s="230"/>
      <c r="C77" s="227"/>
      <c r="D77" s="227"/>
      <c r="E77" s="227"/>
      <c r="F77" s="227"/>
      <c r="G77" s="227"/>
      <c r="H77" s="227"/>
      <c r="I77" s="231"/>
      <c r="J77" s="227"/>
      <c r="K77" s="227"/>
      <c r="L77" s="227"/>
      <c r="M77" s="227"/>
      <c r="N77" s="227"/>
      <c r="O77" s="227"/>
      <c r="P77" s="232"/>
      <c r="Q77" s="94" t="s">
        <v>130</v>
      </c>
      <c r="R77" s="81"/>
      <c r="S77" s="81"/>
      <c r="T77" s="81"/>
      <c r="U77" s="81"/>
      <c r="V77" s="81"/>
      <c r="W77" s="81"/>
      <c r="X77" s="81"/>
      <c r="Y77" s="82"/>
      <c r="Z77" s="82"/>
      <c r="AA77" s="82"/>
      <c r="AB77" s="82"/>
      <c r="AC77" s="82"/>
      <c r="AD77" s="82"/>
      <c r="AE77" s="82"/>
      <c r="AF77" s="82"/>
      <c r="AG77" s="82"/>
      <c r="AH77" s="82"/>
      <c r="AI77" s="82"/>
      <c r="AJ77" s="82"/>
      <c r="AK77" s="82"/>
      <c r="AL77" s="82"/>
      <c r="AM77" s="82"/>
      <c r="AN77" s="82"/>
    </row>
    <row r="78" spans="1:40" ht="15" x14ac:dyDescent="0.25">
      <c r="A78" s="227"/>
      <c r="B78" s="230"/>
      <c r="C78" s="227"/>
      <c r="D78" s="227"/>
      <c r="E78" s="227"/>
      <c r="F78" s="227"/>
      <c r="G78" s="227"/>
      <c r="H78" s="227"/>
      <c r="I78" s="231"/>
      <c r="J78" s="227"/>
      <c r="K78" s="227"/>
      <c r="L78" s="227"/>
      <c r="M78" s="227"/>
      <c r="N78" s="227"/>
      <c r="O78" s="227"/>
      <c r="P78" s="232"/>
      <c r="Q78" s="94" t="s">
        <v>130</v>
      </c>
      <c r="R78" s="81"/>
      <c r="S78" s="81"/>
      <c r="T78" s="81"/>
      <c r="U78" s="81"/>
      <c r="V78" s="81"/>
      <c r="W78" s="81"/>
      <c r="X78" s="81"/>
      <c r="Y78" s="82"/>
      <c r="Z78" s="82"/>
      <c r="AA78" s="82"/>
      <c r="AB78" s="82"/>
      <c r="AC78" s="82"/>
      <c r="AD78" s="82"/>
      <c r="AE78" s="82"/>
      <c r="AF78" s="82"/>
      <c r="AG78" s="82"/>
      <c r="AH78" s="82"/>
      <c r="AI78" s="82"/>
      <c r="AJ78" s="82"/>
      <c r="AK78" s="82"/>
      <c r="AL78" s="82"/>
      <c r="AM78" s="82"/>
      <c r="AN78" s="82"/>
    </row>
    <row r="79" spans="1:40" ht="15" x14ac:dyDescent="0.25">
      <c r="A79" s="227"/>
      <c r="B79" s="230"/>
      <c r="C79" s="227"/>
      <c r="D79" s="227"/>
      <c r="E79" s="227"/>
      <c r="F79" s="227"/>
      <c r="G79" s="227"/>
      <c r="H79" s="227"/>
      <c r="I79" s="231"/>
      <c r="J79" s="227"/>
      <c r="K79" s="227"/>
      <c r="L79" s="227"/>
      <c r="M79" s="227"/>
      <c r="N79" s="227"/>
      <c r="O79" s="227"/>
      <c r="P79" s="232"/>
      <c r="Q79" s="94" t="s">
        <v>130</v>
      </c>
      <c r="R79" s="81"/>
      <c r="S79" s="81"/>
      <c r="T79" s="81"/>
      <c r="U79" s="81"/>
      <c r="V79" s="81"/>
      <c r="W79" s="81"/>
      <c r="X79" s="81"/>
      <c r="Y79" s="82"/>
      <c r="Z79" s="82"/>
      <c r="AA79" s="82"/>
      <c r="AB79" s="82"/>
      <c r="AC79" s="82"/>
      <c r="AD79" s="82"/>
      <c r="AE79" s="82"/>
      <c r="AF79" s="82"/>
      <c r="AG79" s="82"/>
      <c r="AH79" s="82"/>
      <c r="AI79" s="82"/>
      <c r="AJ79" s="82"/>
      <c r="AK79" s="82"/>
      <c r="AL79" s="82"/>
      <c r="AM79" s="82"/>
      <c r="AN79" s="82"/>
    </row>
    <row r="80" spans="1:40" ht="15" x14ac:dyDescent="0.25">
      <c r="A80" s="227"/>
      <c r="B80" s="230"/>
      <c r="C80" s="227"/>
      <c r="D80" s="227"/>
      <c r="E80" s="227"/>
      <c r="F80" s="227"/>
      <c r="G80" s="227"/>
      <c r="H80" s="227"/>
      <c r="I80" s="231"/>
      <c r="J80" s="227"/>
      <c r="K80" s="227"/>
      <c r="L80" s="227"/>
      <c r="M80" s="227"/>
      <c r="N80" s="227"/>
      <c r="O80" s="227"/>
      <c r="P80" s="232"/>
      <c r="Q80" s="94" t="s">
        <v>130</v>
      </c>
      <c r="R80" s="81"/>
      <c r="S80" s="81"/>
      <c r="T80" s="81"/>
      <c r="U80" s="81"/>
      <c r="V80" s="81"/>
      <c r="W80" s="81"/>
      <c r="X80" s="81"/>
      <c r="Y80" s="82"/>
      <c r="Z80" s="82"/>
      <c r="AA80" s="82"/>
      <c r="AB80" s="82"/>
      <c r="AC80" s="82"/>
      <c r="AD80" s="82"/>
      <c r="AE80" s="82"/>
      <c r="AF80" s="82"/>
      <c r="AG80" s="82"/>
      <c r="AH80" s="82"/>
      <c r="AI80" s="82"/>
      <c r="AJ80" s="82"/>
      <c r="AK80" s="82"/>
      <c r="AL80" s="82"/>
      <c r="AM80" s="82"/>
      <c r="AN80" s="82"/>
    </row>
    <row r="81" spans="1:40" ht="15" x14ac:dyDescent="0.25">
      <c r="A81" s="227"/>
      <c r="B81" s="230"/>
      <c r="C81" s="227"/>
      <c r="D81" s="227"/>
      <c r="E81" s="227"/>
      <c r="F81" s="227"/>
      <c r="G81" s="227"/>
      <c r="H81" s="227"/>
      <c r="I81" s="231"/>
      <c r="J81" s="227"/>
      <c r="K81" s="227"/>
      <c r="L81" s="227"/>
      <c r="M81" s="227"/>
      <c r="N81" s="227"/>
      <c r="O81" s="227"/>
      <c r="P81" s="232"/>
      <c r="Q81" s="94" t="s">
        <v>130</v>
      </c>
      <c r="R81" s="81"/>
      <c r="S81" s="81"/>
      <c r="T81" s="81"/>
      <c r="U81" s="81"/>
      <c r="V81" s="81"/>
      <c r="W81" s="81"/>
      <c r="X81" s="81"/>
      <c r="Y81" s="82"/>
      <c r="Z81" s="82"/>
      <c r="AA81" s="82"/>
      <c r="AB81" s="82"/>
      <c r="AC81" s="82"/>
      <c r="AD81" s="82"/>
      <c r="AE81" s="82"/>
      <c r="AF81" s="82"/>
      <c r="AG81" s="82"/>
      <c r="AH81" s="82"/>
      <c r="AI81" s="82"/>
      <c r="AJ81" s="82"/>
      <c r="AK81" s="82"/>
      <c r="AL81" s="82"/>
      <c r="AM81" s="82"/>
      <c r="AN81" s="82"/>
    </row>
    <row r="82" spans="1:40" ht="15" x14ac:dyDescent="0.25">
      <c r="A82" s="227"/>
      <c r="B82" s="230"/>
      <c r="C82" s="227"/>
      <c r="D82" s="227"/>
      <c r="E82" s="227"/>
      <c r="F82" s="227"/>
      <c r="G82" s="227"/>
      <c r="H82" s="227"/>
      <c r="I82" s="231"/>
      <c r="J82" s="227"/>
      <c r="K82" s="227"/>
      <c r="L82" s="227"/>
      <c r="M82" s="227"/>
      <c r="N82" s="227"/>
      <c r="O82" s="227"/>
      <c r="P82" s="232"/>
      <c r="Q82" s="94" t="s">
        <v>130</v>
      </c>
      <c r="R82" s="81"/>
      <c r="S82" s="81"/>
      <c r="T82" s="81"/>
      <c r="U82" s="81"/>
      <c r="V82" s="81"/>
      <c r="W82" s="81"/>
      <c r="X82" s="81"/>
      <c r="Y82" s="82"/>
      <c r="Z82" s="82"/>
      <c r="AA82" s="82"/>
      <c r="AB82" s="82"/>
      <c r="AC82" s="82"/>
      <c r="AD82" s="82"/>
      <c r="AE82" s="82"/>
      <c r="AF82" s="82"/>
      <c r="AG82" s="82"/>
      <c r="AH82" s="82"/>
      <c r="AI82" s="82"/>
      <c r="AJ82" s="82"/>
      <c r="AK82" s="82"/>
      <c r="AL82" s="82"/>
      <c r="AM82" s="82"/>
      <c r="AN82" s="82"/>
    </row>
    <row r="83" spans="1:40" ht="15" x14ac:dyDescent="0.25">
      <c r="A83" s="227"/>
      <c r="B83" s="230"/>
      <c r="C83" s="227"/>
      <c r="D83" s="227"/>
      <c r="E83" s="227"/>
      <c r="F83" s="227"/>
      <c r="G83" s="227"/>
      <c r="H83" s="227"/>
      <c r="I83" s="231"/>
      <c r="J83" s="227"/>
      <c r="K83" s="227"/>
      <c r="L83" s="227"/>
      <c r="M83" s="227"/>
      <c r="N83" s="227"/>
      <c r="O83" s="227"/>
      <c r="P83" s="232"/>
      <c r="Q83" s="94" t="s">
        <v>130</v>
      </c>
      <c r="R83" s="81"/>
      <c r="S83" s="81"/>
      <c r="T83" s="81"/>
      <c r="U83" s="81"/>
      <c r="V83" s="81"/>
      <c r="W83" s="81"/>
      <c r="X83" s="81"/>
      <c r="Y83" s="82"/>
      <c r="Z83" s="82"/>
      <c r="AA83" s="82"/>
      <c r="AB83" s="82"/>
      <c r="AC83" s="82"/>
      <c r="AD83" s="82"/>
      <c r="AE83" s="82"/>
      <c r="AF83" s="82"/>
      <c r="AG83" s="82"/>
      <c r="AH83" s="82"/>
      <c r="AI83" s="82"/>
      <c r="AJ83" s="82"/>
      <c r="AK83" s="82"/>
      <c r="AL83" s="82"/>
      <c r="AM83" s="82"/>
      <c r="AN83" s="82"/>
    </row>
    <row r="84" spans="1:40" ht="15" x14ac:dyDescent="0.25">
      <c r="A84" s="227"/>
      <c r="B84" s="230"/>
      <c r="C84" s="227"/>
      <c r="D84" s="227"/>
      <c r="E84" s="227"/>
      <c r="F84" s="227"/>
      <c r="G84" s="227"/>
      <c r="H84" s="227"/>
      <c r="I84" s="231"/>
      <c r="J84" s="227"/>
      <c r="K84" s="227"/>
      <c r="L84" s="227"/>
      <c r="M84" s="227"/>
      <c r="N84" s="227"/>
      <c r="O84" s="227"/>
      <c r="P84" s="232"/>
      <c r="Q84" s="94" t="s">
        <v>130</v>
      </c>
      <c r="R84" s="81"/>
      <c r="S84" s="81"/>
      <c r="T84" s="81"/>
      <c r="U84" s="81"/>
      <c r="V84" s="81"/>
      <c r="W84" s="81"/>
      <c r="X84" s="81"/>
      <c r="Y84" s="82"/>
      <c r="Z84" s="82"/>
      <c r="AA84" s="82"/>
      <c r="AB84" s="82"/>
      <c r="AC84" s="82"/>
      <c r="AD84" s="82"/>
      <c r="AE84" s="82"/>
      <c r="AF84" s="82"/>
      <c r="AG84" s="82"/>
      <c r="AH84" s="82"/>
      <c r="AI84" s="82"/>
      <c r="AJ84" s="82"/>
      <c r="AK84" s="82"/>
      <c r="AL84" s="82"/>
      <c r="AM84" s="82"/>
      <c r="AN84" s="82"/>
    </row>
    <row r="85" spans="1:40" ht="15" x14ac:dyDescent="0.25">
      <c r="A85" s="227"/>
      <c r="B85" s="230" t="s">
        <v>32</v>
      </c>
      <c r="C85" s="227"/>
      <c r="D85" s="227"/>
      <c r="E85" s="227"/>
      <c r="F85" s="227"/>
      <c r="G85" s="227"/>
      <c r="H85" s="227"/>
      <c r="I85" s="231"/>
      <c r="J85" s="227"/>
      <c r="K85" s="227"/>
      <c r="L85" s="227"/>
      <c r="M85" s="227"/>
      <c r="N85" s="227"/>
      <c r="O85" s="227"/>
      <c r="P85" s="232"/>
      <c r="Q85" s="94" t="s">
        <v>130</v>
      </c>
      <c r="R85" s="81"/>
      <c r="S85" s="81"/>
      <c r="T85" s="81"/>
      <c r="U85" s="81"/>
      <c r="V85" s="81"/>
      <c r="W85" s="81"/>
      <c r="X85" s="81"/>
      <c r="Y85" s="82"/>
      <c r="Z85" s="82"/>
      <c r="AA85" s="82"/>
      <c r="AB85" s="82"/>
      <c r="AC85" s="82"/>
      <c r="AD85" s="82"/>
      <c r="AE85" s="82"/>
      <c r="AF85" s="82"/>
      <c r="AG85" s="82"/>
      <c r="AH85" s="82"/>
      <c r="AI85" s="82"/>
      <c r="AJ85" s="82"/>
      <c r="AK85" s="82"/>
      <c r="AL85" s="82"/>
      <c r="AM85" s="82"/>
      <c r="AN85" s="82"/>
    </row>
    <row r="86" spans="1:40" ht="15" x14ac:dyDescent="0.25">
      <c r="A86" s="227"/>
      <c r="B86" s="230" t="s">
        <v>32</v>
      </c>
      <c r="C86" s="227"/>
      <c r="D86" s="227"/>
      <c r="E86" s="227"/>
      <c r="F86" s="227"/>
      <c r="G86" s="227"/>
      <c r="H86" s="227"/>
      <c r="I86" s="231"/>
      <c r="J86" s="227"/>
      <c r="K86" s="227"/>
      <c r="L86" s="227"/>
      <c r="M86" s="227"/>
      <c r="N86" s="227"/>
      <c r="O86" s="227"/>
      <c r="P86" s="232"/>
      <c r="Q86" s="94" t="s">
        <v>130</v>
      </c>
      <c r="R86" s="81"/>
      <c r="S86" s="81"/>
      <c r="T86" s="81"/>
      <c r="U86" s="81"/>
      <c r="V86" s="81"/>
      <c r="W86" s="81"/>
      <c r="X86" s="81"/>
      <c r="Y86" s="82"/>
      <c r="Z86" s="82"/>
      <c r="AA86" s="82"/>
      <c r="AB86" s="82"/>
      <c r="AC86" s="82"/>
      <c r="AD86" s="82"/>
      <c r="AE86" s="82"/>
      <c r="AF86" s="82"/>
      <c r="AG86" s="82"/>
      <c r="AH86" s="82"/>
      <c r="AI86" s="82"/>
      <c r="AJ86" s="82"/>
      <c r="AK86" s="82"/>
      <c r="AL86" s="82"/>
      <c r="AM86" s="82"/>
      <c r="AN86" s="82"/>
    </row>
    <row r="87" spans="1:40" ht="15" x14ac:dyDescent="0.25">
      <c r="A87" s="227"/>
      <c r="B87" s="230" t="s">
        <v>32</v>
      </c>
      <c r="C87" s="227"/>
      <c r="D87" s="227"/>
      <c r="E87" s="227"/>
      <c r="F87" s="227"/>
      <c r="G87" s="227"/>
      <c r="H87" s="227"/>
      <c r="I87" s="231"/>
      <c r="J87" s="227"/>
      <c r="K87" s="227"/>
      <c r="L87" s="227"/>
      <c r="M87" s="227"/>
      <c r="N87" s="227"/>
      <c r="O87" s="227"/>
      <c r="P87" s="232"/>
      <c r="Q87" s="94" t="s">
        <v>130</v>
      </c>
      <c r="R87" s="81"/>
      <c r="S87" s="81"/>
      <c r="T87" s="81"/>
      <c r="U87" s="81"/>
      <c r="V87" s="81"/>
      <c r="W87" s="81"/>
      <c r="X87" s="81"/>
      <c r="Y87" s="82"/>
      <c r="Z87" s="82"/>
      <c r="AA87" s="82"/>
      <c r="AB87" s="82"/>
      <c r="AC87" s="82"/>
      <c r="AD87" s="82"/>
      <c r="AE87" s="82"/>
      <c r="AF87" s="82"/>
      <c r="AG87" s="82"/>
      <c r="AH87" s="82"/>
      <c r="AI87" s="82"/>
      <c r="AJ87" s="82"/>
      <c r="AK87" s="82"/>
      <c r="AL87" s="82"/>
      <c r="AM87" s="82"/>
      <c r="AN87" s="82"/>
    </row>
    <row r="88" spans="1:40" ht="15" x14ac:dyDescent="0.25">
      <c r="A88" s="227"/>
      <c r="B88" s="230" t="s">
        <v>32</v>
      </c>
      <c r="C88" s="227"/>
      <c r="D88" s="227"/>
      <c r="E88" s="227"/>
      <c r="F88" s="227"/>
      <c r="G88" s="227"/>
      <c r="H88" s="227"/>
      <c r="I88" s="231"/>
      <c r="J88" s="227"/>
      <c r="K88" s="227"/>
      <c r="L88" s="227"/>
      <c r="M88" s="227"/>
      <c r="N88" s="227"/>
      <c r="O88" s="227"/>
      <c r="P88" s="232"/>
      <c r="Q88" s="94" t="s">
        <v>130</v>
      </c>
      <c r="R88" s="81"/>
      <c r="S88" s="81"/>
      <c r="T88" s="81"/>
      <c r="U88" s="81"/>
      <c r="V88" s="81"/>
      <c r="W88" s="81"/>
      <c r="X88" s="81"/>
      <c r="Y88" s="82"/>
      <c r="Z88" s="82"/>
      <c r="AA88" s="82"/>
      <c r="AB88" s="82"/>
      <c r="AC88" s="82"/>
      <c r="AD88" s="82"/>
      <c r="AE88" s="82"/>
      <c r="AF88" s="82"/>
      <c r="AG88" s="82"/>
      <c r="AH88" s="82"/>
      <c r="AI88" s="82"/>
      <c r="AJ88" s="82"/>
      <c r="AK88" s="82"/>
      <c r="AL88" s="82"/>
      <c r="AM88" s="82"/>
      <c r="AN88" s="82"/>
    </row>
    <row r="89" spans="1:40" ht="15" x14ac:dyDescent="0.25">
      <c r="A89" s="227"/>
      <c r="B89" s="230" t="s">
        <v>32</v>
      </c>
      <c r="C89" s="227"/>
      <c r="D89" s="227"/>
      <c r="E89" s="227"/>
      <c r="F89" s="227"/>
      <c r="G89" s="227"/>
      <c r="H89" s="227"/>
      <c r="I89" s="231"/>
      <c r="J89" s="227"/>
      <c r="K89" s="227"/>
      <c r="L89" s="227"/>
      <c r="M89" s="227"/>
      <c r="N89" s="227"/>
      <c r="O89" s="227"/>
      <c r="P89" s="232"/>
      <c r="Q89" s="94" t="s">
        <v>130</v>
      </c>
      <c r="R89" s="81"/>
      <c r="S89" s="81"/>
      <c r="T89" s="81"/>
      <c r="U89" s="81"/>
      <c r="V89" s="81"/>
      <c r="W89" s="81"/>
      <c r="X89" s="81"/>
      <c r="Y89" s="82"/>
      <c r="Z89" s="82"/>
      <c r="AA89" s="82"/>
      <c r="AB89" s="82"/>
      <c r="AC89" s="82"/>
      <c r="AD89" s="82"/>
      <c r="AE89" s="82"/>
      <c r="AF89" s="82"/>
      <c r="AG89" s="82"/>
      <c r="AH89" s="82"/>
      <c r="AI89" s="82"/>
      <c r="AJ89" s="82"/>
      <c r="AK89" s="82"/>
      <c r="AL89" s="82"/>
      <c r="AM89" s="82"/>
      <c r="AN89" s="82"/>
    </row>
    <row r="90" spans="1:40" ht="15" x14ac:dyDescent="0.25">
      <c r="A90" s="227"/>
      <c r="B90" s="230" t="s">
        <v>32</v>
      </c>
      <c r="C90" s="227"/>
      <c r="D90" s="227"/>
      <c r="E90" s="227"/>
      <c r="F90" s="227"/>
      <c r="G90" s="227"/>
      <c r="H90" s="227"/>
      <c r="I90" s="231"/>
      <c r="J90" s="227"/>
      <c r="K90" s="227"/>
      <c r="L90" s="227"/>
      <c r="M90" s="227"/>
      <c r="N90" s="227"/>
      <c r="O90" s="227"/>
      <c r="P90" s="232"/>
      <c r="Q90" s="94" t="s">
        <v>130</v>
      </c>
      <c r="R90" s="81"/>
      <c r="S90" s="81"/>
      <c r="T90" s="81"/>
      <c r="U90" s="81"/>
      <c r="V90" s="81"/>
      <c r="W90" s="81"/>
      <c r="X90" s="81"/>
      <c r="Y90" s="82"/>
      <c r="Z90" s="82"/>
      <c r="AA90" s="82"/>
      <c r="AB90" s="82"/>
      <c r="AC90" s="82"/>
      <c r="AD90" s="82"/>
      <c r="AE90" s="82"/>
      <c r="AF90" s="82"/>
      <c r="AG90" s="82"/>
      <c r="AH90" s="82"/>
      <c r="AI90" s="82"/>
      <c r="AJ90" s="82"/>
      <c r="AK90" s="82"/>
      <c r="AL90" s="82"/>
      <c r="AM90" s="82"/>
      <c r="AN90" s="82"/>
    </row>
    <row r="91" spans="1:40" ht="15" x14ac:dyDescent="0.25">
      <c r="A91" s="227"/>
      <c r="B91" s="230" t="s">
        <v>32</v>
      </c>
      <c r="C91" s="227"/>
      <c r="D91" s="227"/>
      <c r="E91" s="227"/>
      <c r="F91" s="227"/>
      <c r="G91" s="227"/>
      <c r="H91" s="227"/>
      <c r="I91" s="231"/>
      <c r="J91" s="227"/>
      <c r="K91" s="227"/>
      <c r="L91" s="227"/>
      <c r="M91" s="227"/>
      <c r="N91" s="227"/>
      <c r="O91" s="227"/>
      <c r="P91" s="232"/>
      <c r="Q91" s="94" t="s">
        <v>130</v>
      </c>
      <c r="R91" s="81"/>
      <c r="S91" s="81"/>
      <c r="T91" s="81"/>
      <c r="U91" s="81"/>
      <c r="V91" s="81"/>
      <c r="W91" s="81"/>
      <c r="X91" s="81"/>
      <c r="Y91" s="82"/>
      <c r="Z91" s="82"/>
      <c r="AA91" s="82"/>
      <c r="AB91" s="82"/>
      <c r="AC91" s="82"/>
      <c r="AD91" s="82"/>
      <c r="AE91" s="82"/>
      <c r="AF91" s="82"/>
      <c r="AG91" s="82"/>
      <c r="AH91" s="82"/>
      <c r="AI91" s="82"/>
      <c r="AJ91" s="82"/>
      <c r="AK91" s="82"/>
      <c r="AL91" s="82"/>
      <c r="AM91" s="82"/>
      <c r="AN91" s="82"/>
    </row>
    <row r="92" spans="1:40" ht="26.25" customHeight="1" x14ac:dyDescent="0.25">
      <c r="A92" s="227"/>
      <c r="B92" s="230" t="s">
        <v>32</v>
      </c>
      <c r="C92" s="317"/>
      <c r="D92" s="317"/>
      <c r="E92" s="318"/>
      <c r="F92" s="318" t="s">
        <v>139</v>
      </c>
      <c r="G92" s="318"/>
      <c r="H92" s="318"/>
      <c r="I92" s="318"/>
      <c r="J92" s="318"/>
      <c r="K92" s="318"/>
      <c r="L92" s="318"/>
      <c r="M92" s="318"/>
      <c r="N92" s="318"/>
      <c r="O92" s="318"/>
      <c r="P92" s="232"/>
      <c r="Q92" s="94" t="s">
        <v>130</v>
      </c>
      <c r="R92" s="81"/>
      <c r="S92" s="81"/>
      <c r="T92" s="81"/>
      <c r="U92" s="81"/>
      <c r="V92" s="81"/>
      <c r="W92" s="81"/>
      <c r="X92" s="81"/>
      <c r="Y92" s="82"/>
      <c r="Z92" s="82"/>
      <c r="AA92" s="82"/>
      <c r="AB92" s="82"/>
      <c r="AC92" s="82"/>
      <c r="AD92" s="82"/>
      <c r="AE92" s="82"/>
      <c r="AF92" s="82"/>
      <c r="AG92" s="82"/>
      <c r="AH92" s="82"/>
      <c r="AI92" s="82"/>
      <c r="AJ92" s="82"/>
      <c r="AK92" s="82"/>
      <c r="AL92" s="82"/>
      <c r="AM92" s="82"/>
      <c r="AN92" s="82"/>
    </row>
    <row r="93" spans="1:40" ht="15" x14ac:dyDescent="0.25">
      <c r="A93" s="227"/>
      <c r="B93" s="230" t="s">
        <v>32</v>
      </c>
      <c r="C93" s="227"/>
      <c r="D93" s="227"/>
      <c r="E93" s="227"/>
      <c r="F93" s="227"/>
      <c r="G93" s="227"/>
      <c r="H93" s="227"/>
      <c r="I93" s="231"/>
      <c r="J93" s="227"/>
      <c r="K93" s="227"/>
      <c r="L93" s="227"/>
      <c r="M93" s="227"/>
      <c r="N93" s="227"/>
      <c r="O93" s="227"/>
      <c r="P93" s="232"/>
      <c r="Q93" s="94" t="s">
        <v>130</v>
      </c>
      <c r="R93" s="81"/>
      <c r="S93" s="81"/>
      <c r="T93" s="81"/>
      <c r="U93" s="81"/>
      <c r="V93" s="81"/>
      <c r="W93" s="81"/>
      <c r="X93" s="81"/>
      <c r="Y93" s="82"/>
      <c r="Z93" s="82"/>
      <c r="AA93" s="82"/>
      <c r="AB93" s="82"/>
      <c r="AC93" s="82"/>
      <c r="AD93" s="82"/>
      <c r="AE93" s="82"/>
      <c r="AF93" s="82"/>
      <c r="AG93" s="82"/>
      <c r="AH93" s="82"/>
      <c r="AI93" s="82"/>
      <c r="AJ93" s="82"/>
      <c r="AK93" s="82"/>
      <c r="AL93" s="82"/>
      <c r="AM93" s="82"/>
      <c r="AN93" s="82"/>
    </row>
    <row r="94" spans="1:40" ht="24" customHeight="1" x14ac:dyDescent="0.25">
      <c r="A94" s="227"/>
      <c r="B94" s="230" t="s">
        <v>32</v>
      </c>
      <c r="C94" s="227"/>
      <c r="D94" s="227"/>
      <c r="E94" s="227"/>
      <c r="F94" s="507" t="s">
        <v>139</v>
      </c>
      <c r="G94" s="507"/>
      <c r="H94" s="507"/>
      <c r="I94" s="507"/>
      <c r="J94" s="362">
        <f>'ادخال  التوقعات المالية'!C1</f>
        <v>2024</v>
      </c>
      <c r="K94" s="362">
        <f>'ادخال  التوقعات المالية'!D1</f>
        <v>2025</v>
      </c>
      <c r="L94" s="362">
        <f>'ادخال  التوقعات المالية'!E1</f>
        <v>2026</v>
      </c>
      <c r="M94" s="362">
        <f>'ادخال  التوقعات المالية'!F1</f>
        <v>2027</v>
      </c>
      <c r="N94" s="362">
        <f>'ادخال  التوقعات المالية'!G1</f>
        <v>2028</v>
      </c>
      <c r="O94" s="227"/>
      <c r="P94" s="232"/>
      <c r="Q94" s="94" t="s">
        <v>130</v>
      </c>
      <c r="R94" s="81"/>
      <c r="S94" s="81"/>
      <c r="T94" s="81"/>
      <c r="U94" s="81"/>
      <c r="V94" s="81"/>
      <c r="W94" s="81"/>
      <c r="X94" s="81"/>
      <c r="Y94" s="82"/>
      <c r="Z94" s="82"/>
      <c r="AA94" s="82"/>
      <c r="AB94" s="82"/>
      <c r="AC94" s="82"/>
      <c r="AD94" s="82"/>
      <c r="AE94" s="82"/>
      <c r="AF94" s="82"/>
      <c r="AG94" s="82"/>
      <c r="AH94" s="82"/>
      <c r="AI94" s="82"/>
      <c r="AJ94" s="82"/>
      <c r="AK94" s="82"/>
      <c r="AL94" s="82"/>
      <c r="AM94" s="82"/>
      <c r="AN94" s="82"/>
    </row>
    <row r="95" spans="1:40" ht="22.5" customHeight="1" x14ac:dyDescent="0.25">
      <c r="A95" s="227"/>
      <c r="B95" s="230" t="s">
        <v>32</v>
      </c>
      <c r="C95" s="227"/>
      <c r="D95" s="227"/>
      <c r="E95" s="227"/>
      <c r="F95" s="506" t="s">
        <v>74</v>
      </c>
      <c r="G95" s="506"/>
      <c r="H95" s="506"/>
      <c r="I95" s="506"/>
      <c r="J95" s="516">
        <f>('ادخال  التوقعات المالية'!C169+'ادخال  التوقعات المالية'!C170)*$U$1</f>
        <v>1600000</v>
      </c>
      <c r="K95" s="517"/>
      <c r="L95" s="517"/>
      <c r="M95" s="517"/>
      <c r="N95" s="518"/>
      <c r="O95" s="227"/>
      <c r="P95" s="232"/>
      <c r="Q95" s="94" t="s">
        <v>130</v>
      </c>
      <c r="R95" s="81"/>
      <c r="S95" s="81"/>
      <c r="T95" s="81"/>
      <c r="U95" s="81"/>
      <c r="V95" s="81"/>
      <c r="W95" s="81"/>
      <c r="X95" s="81"/>
      <c r="Y95" s="82"/>
      <c r="Z95" s="82"/>
      <c r="AA95" s="82"/>
      <c r="AB95" s="82"/>
      <c r="AC95" s="82"/>
      <c r="AD95" s="82"/>
      <c r="AE95" s="82"/>
      <c r="AF95" s="82"/>
      <c r="AG95" s="82"/>
      <c r="AH95" s="82"/>
      <c r="AI95" s="82"/>
      <c r="AJ95" s="82"/>
      <c r="AK95" s="82"/>
      <c r="AL95" s="82"/>
      <c r="AM95" s="82"/>
      <c r="AN95" s="82"/>
    </row>
    <row r="96" spans="1:40" ht="22.5" customHeight="1" x14ac:dyDescent="0.25">
      <c r="A96" s="227"/>
      <c r="B96" s="230" t="s">
        <v>32</v>
      </c>
      <c r="C96" s="227"/>
      <c r="D96" s="227"/>
      <c r="E96" s="227"/>
      <c r="F96" s="506" t="s">
        <v>97</v>
      </c>
      <c r="G96" s="506"/>
      <c r="H96" s="506"/>
      <c r="I96" s="506"/>
      <c r="J96" s="238">
        <f>+J178</f>
        <v>-219579.40000000037</v>
      </c>
      <c r="K96" s="238">
        <f>+K178</f>
        <v>789714.91963025427</v>
      </c>
      <c r="L96" s="238">
        <f>+L178</f>
        <v>1389550.4769957196</v>
      </c>
      <c r="M96" s="238">
        <f>+M178</f>
        <v>1694788.9948558032</v>
      </c>
      <c r="N96" s="238">
        <f>+N178</f>
        <v>2070436.2347302893</v>
      </c>
      <c r="O96" s="227"/>
      <c r="P96" s="232"/>
      <c r="Q96" s="94" t="s">
        <v>130</v>
      </c>
      <c r="R96" s="81"/>
      <c r="S96" s="81"/>
      <c r="T96" s="81"/>
      <c r="U96" s="81"/>
      <c r="V96" s="81"/>
      <c r="W96" s="81"/>
      <c r="X96" s="81"/>
      <c r="Y96" s="82"/>
      <c r="Z96" s="82"/>
      <c r="AA96" s="82"/>
      <c r="AB96" s="82"/>
      <c r="AC96" s="82"/>
      <c r="AD96" s="82"/>
      <c r="AE96" s="82"/>
      <c r="AF96" s="82"/>
      <c r="AG96" s="82"/>
      <c r="AH96" s="82"/>
      <c r="AI96" s="82"/>
      <c r="AJ96" s="82"/>
      <c r="AK96" s="82"/>
      <c r="AL96" s="82"/>
      <c r="AM96" s="82"/>
      <c r="AN96" s="82"/>
    </row>
    <row r="97" spans="1:40" ht="22.5" customHeight="1" x14ac:dyDescent="0.25">
      <c r="A97" s="227"/>
      <c r="B97" s="230"/>
      <c r="C97" s="227"/>
      <c r="D97" s="227"/>
      <c r="E97" s="227"/>
      <c r="F97" s="506" t="s">
        <v>14</v>
      </c>
      <c r="G97" s="506"/>
      <c r="H97" s="506"/>
      <c r="I97" s="506"/>
      <c r="J97" s="239">
        <f>J96/$J$95</f>
        <v>-0.13723712500000024</v>
      </c>
      <c r="K97" s="239">
        <f>K96/$J$95</f>
        <v>0.49357182476890893</v>
      </c>
      <c r="L97" s="239">
        <f>L96/$J$95</f>
        <v>0.86846904812232473</v>
      </c>
      <c r="M97" s="239">
        <f>M96/$J$95</f>
        <v>1.059243121784877</v>
      </c>
      <c r="N97" s="239">
        <f>N96/$J$95</f>
        <v>1.2940226467064309</v>
      </c>
      <c r="O97" s="227"/>
      <c r="P97" s="232"/>
      <c r="Q97" s="94" t="s">
        <v>130</v>
      </c>
      <c r="R97" s="81"/>
      <c r="S97" s="81"/>
      <c r="T97" s="81"/>
      <c r="U97" s="81"/>
      <c r="V97" s="81"/>
      <c r="W97" s="81"/>
      <c r="X97" s="81"/>
      <c r="Y97" s="82"/>
      <c r="Z97" s="82"/>
      <c r="AA97" s="82"/>
      <c r="AB97" s="82"/>
      <c r="AC97" s="82"/>
      <c r="AD97" s="82"/>
      <c r="AE97" s="82"/>
      <c r="AF97" s="82"/>
      <c r="AG97" s="82"/>
      <c r="AH97" s="82"/>
      <c r="AI97" s="82"/>
      <c r="AJ97" s="82"/>
      <c r="AK97" s="82"/>
      <c r="AL97" s="82"/>
      <c r="AM97" s="82"/>
      <c r="AN97" s="82"/>
    </row>
    <row r="98" spans="1:40" ht="22.5" customHeight="1" x14ac:dyDescent="0.25">
      <c r="A98" s="227"/>
      <c r="B98" s="230" t="s">
        <v>32</v>
      </c>
      <c r="C98" s="227"/>
      <c r="D98" s="227"/>
      <c r="E98" s="227"/>
      <c r="F98" s="506" t="s">
        <v>199</v>
      </c>
      <c r="G98" s="506"/>
      <c r="H98" s="506"/>
      <c r="I98" s="506"/>
      <c r="J98" s="240">
        <f>-(J177+J176+J173)/J157</f>
        <v>4698379.1265721601</v>
      </c>
      <c r="K98" s="240">
        <f>-(K177+K176+K173)/K157</f>
        <v>5130632.1127682738</v>
      </c>
      <c r="L98" s="240">
        <f>-(L177+L176+L173)/L157</f>
        <v>5590536.1954869824</v>
      </c>
      <c r="M98" s="240">
        <f>-(M177+M176+M173)/M157</f>
        <v>6061260.8229426406</v>
      </c>
      <c r="N98" s="240">
        <f>-(N177+N176+N173)/N157</f>
        <v>6409900.0059286281</v>
      </c>
      <c r="O98" s="227"/>
      <c r="P98" s="232"/>
      <c r="Q98" s="94" t="s">
        <v>130</v>
      </c>
      <c r="R98" s="81"/>
      <c r="S98" s="81"/>
      <c r="T98" s="81"/>
      <c r="U98" s="81"/>
      <c r="V98" s="81"/>
      <c r="W98" s="81"/>
      <c r="X98" s="81"/>
      <c r="Y98" s="82"/>
      <c r="Z98" s="82"/>
      <c r="AA98" s="82"/>
      <c r="AB98" s="82"/>
      <c r="AC98" s="82"/>
      <c r="AD98" s="82"/>
      <c r="AE98" s="82"/>
      <c r="AF98" s="82"/>
      <c r="AG98" s="82"/>
      <c r="AH98" s="82"/>
      <c r="AI98" s="82"/>
      <c r="AJ98" s="82"/>
      <c r="AK98" s="82"/>
      <c r="AL98" s="82"/>
      <c r="AM98" s="82"/>
      <c r="AN98" s="82"/>
    </row>
    <row r="99" spans="1:40" ht="22.5" customHeight="1" x14ac:dyDescent="0.25">
      <c r="A99" s="227"/>
      <c r="B99" s="230" t="s">
        <v>32</v>
      </c>
      <c r="C99" s="227"/>
      <c r="D99" s="227"/>
      <c r="E99" s="227"/>
      <c r="F99" s="506" t="s">
        <v>23</v>
      </c>
      <c r="G99" s="506"/>
      <c r="H99" s="506"/>
      <c r="I99" s="506"/>
      <c r="J99" s="539">
        <f>L112</f>
        <v>2.7905997755903851</v>
      </c>
      <c r="K99" s="539"/>
      <c r="L99" s="539"/>
      <c r="M99" s="539"/>
      <c r="N99" s="539"/>
      <c r="O99" s="227"/>
      <c r="P99" s="232"/>
      <c r="Q99" s="94" t="s">
        <v>130</v>
      </c>
      <c r="R99" s="81"/>
      <c r="S99" s="81"/>
      <c r="T99" s="81"/>
      <c r="U99" s="81"/>
      <c r="V99" s="81"/>
      <c r="W99" s="81"/>
      <c r="X99" s="81"/>
      <c r="Y99" s="82"/>
      <c r="Z99" s="82"/>
      <c r="AA99" s="82"/>
      <c r="AB99" s="82"/>
      <c r="AC99" s="82"/>
      <c r="AD99" s="82"/>
      <c r="AE99" s="82"/>
      <c r="AF99" s="82"/>
      <c r="AG99" s="82"/>
      <c r="AH99" s="82"/>
      <c r="AI99" s="82"/>
      <c r="AJ99" s="82"/>
      <c r="AK99" s="82"/>
      <c r="AL99" s="82"/>
      <c r="AM99" s="82"/>
      <c r="AN99" s="82"/>
    </row>
    <row r="100" spans="1:40" ht="15" x14ac:dyDescent="0.25">
      <c r="A100" s="227"/>
      <c r="B100" s="230" t="s">
        <v>32</v>
      </c>
      <c r="C100" s="227"/>
      <c r="D100" s="227"/>
      <c r="E100" s="227"/>
      <c r="F100" s="227"/>
      <c r="G100" s="227"/>
      <c r="H100" s="227"/>
      <c r="I100" s="231"/>
      <c r="J100" s="227"/>
      <c r="K100" s="227"/>
      <c r="L100" s="241"/>
      <c r="M100" s="241"/>
      <c r="N100" s="227"/>
      <c r="O100" s="227"/>
      <c r="P100" s="232"/>
      <c r="Q100" s="94" t="s">
        <v>130</v>
      </c>
      <c r="R100" s="81"/>
      <c r="S100" s="81"/>
      <c r="T100" s="81"/>
      <c r="U100" s="81"/>
      <c r="V100" s="81"/>
      <c r="W100" s="81"/>
      <c r="X100" s="81"/>
      <c r="Y100" s="82"/>
      <c r="Z100" s="82"/>
      <c r="AA100" s="82"/>
      <c r="AB100" s="82"/>
      <c r="AC100" s="82"/>
      <c r="AD100" s="82"/>
      <c r="AE100" s="82"/>
      <c r="AF100" s="82"/>
      <c r="AG100" s="82"/>
      <c r="AH100" s="82"/>
      <c r="AI100" s="82"/>
      <c r="AJ100" s="82"/>
      <c r="AK100" s="82"/>
      <c r="AL100" s="82"/>
      <c r="AM100" s="82"/>
      <c r="AN100" s="82"/>
    </row>
    <row r="101" spans="1:40" ht="15" x14ac:dyDescent="0.25">
      <c r="A101" s="227"/>
      <c r="B101" s="230" t="s">
        <v>32</v>
      </c>
      <c r="C101" s="227"/>
      <c r="D101" s="227"/>
      <c r="E101" s="227"/>
      <c r="F101" s="227"/>
      <c r="G101" s="227"/>
      <c r="H101" s="227"/>
      <c r="I101" s="231"/>
      <c r="J101" s="227"/>
      <c r="K101" s="227"/>
      <c r="L101" s="242"/>
      <c r="M101" s="242"/>
      <c r="N101" s="227"/>
      <c r="O101" s="227"/>
      <c r="P101" s="232"/>
      <c r="Q101" s="94" t="s">
        <v>130</v>
      </c>
      <c r="R101" s="81"/>
      <c r="S101" s="81"/>
      <c r="T101" s="81"/>
      <c r="U101" s="81"/>
      <c r="V101" s="81"/>
      <c r="W101" s="81"/>
      <c r="X101" s="81"/>
      <c r="Y101" s="82"/>
      <c r="Z101" s="82"/>
      <c r="AA101" s="82"/>
      <c r="AB101" s="82"/>
      <c r="AC101" s="82"/>
      <c r="AD101" s="82"/>
      <c r="AE101" s="82"/>
      <c r="AF101" s="82"/>
      <c r="AG101" s="82"/>
      <c r="AH101" s="82"/>
      <c r="AI101" s="82"/>
      <c r="AJ101" s="82"/>
      <c r="AK101" s="82"/>
      <c r="AL101" s="82"/>
      <c r="AM101" s="82"/>
      <c r="AN101" s="82"/>
    </row>
    <row r="102" spans="1:40" ht="15" x14ac:dyDescent="0.25">
      <c r="A102" s="227"/>
      <c r="B102" s="230" t="s">
        <v>32</v>
      </c>
      <c r="C102" s="227"/>
      <c r="D102" s="227"/>
      <c r="E102" s="227"/>
      <c r="F102" s="227"/>
      <c r="G102" s="227"/>
      <c r="H102" s="227"/>
      <c r="I102" s="231"/>
      <c r="J102" s="227"/>
      <c r="K102" s="227"/>
      <c r="L102" s="227"/>
      <c r="M102" s="227"/>
      <c r="N102" s="227"/>
      <c r="O102" s="243"/>
      <c r="P102" s="232"/>
      <c r="Q102" s="94" t="s">
        <v>130</v>
      </c>
      <c r="R102" s="81"/>
      <c r="S102" s="81"/>
      <c r="T102" s="81"/>
      <c r="U102" s="81"/>
      <c r="V102" s="81"/>
      <c r="W102" s="81"/>
      <c r="X102" s="81"/>
      <c r="Y102" s="82"/>
      <c r="Z102" s="82"/>
      <c r="AA102" s="82"/>
      <c r="AB102" s="82"/>
      <c r="AC102" s="82"/>
      <c r="AD102" s="82"/>
      <c r="AE102" s="82"/>
      <c r="AF102" s="82"/>
      <c r="AG102" s="82"/>
      <c r="AH102" s="82"/>
      <c r="AI102" s="82"/>
      <c r="AJ102" s="82"/>
      <c r="AK102" s="82"/>
      <c r="AL102" s="82"/>
      <c r="AM102" s="82"/>
      <c r="AN102" s="82"/>
    </row>
    <row r="103" spans="1:40" ht="15" x14ac:dyDescent="0.25">
      <c r="A103" s="227"/>
      <c r="B103" s="230" t="s">
        <v>32</v>
      </c>
      <c r="C103" s="227"/>
      <c r="D103" s="227"/>
      <c r="E103" s="227"/>
      <c r="F103" s="227"/>
      <c r="G103" s="227"/>
      <c r="H103" s="227"/>
      <c r="I103" s="231"/>
      <c r="J103" s="227"/>
      <c r="K103" s="227"/>
      <c r="L103" s="227"/>
      <c r="M103" s="227"/>
      <c r="N103" s="227"/>
      <c r="O103" s="227"/>
      <c r="P103" s="232"/>
      <c r="Q103" s="94" t="s">
        <v>130</v>
      </c>
      <c r="R103" s="81"/>
      <c r="S103" s="81"/>
      <c r="T103" s="81"/>
      <c r="U103" s="88"/>
      <c r="V103" s="81"/>
      <c r="W103" s="81"/>
      <c r="X103" s="81"/>
      <c r="Y103" s="82"/>
      <c r="Z103" s="82"/>
      <c r="AA103" s="82"/>
      <c r="AB103" s="82"/>
      <c r="AC103" s="82"/>
      <c r="AD103" s="82"/>
      <c r="AE103" s="82"/>
      <c r="AF103" s="82"/>
      <c r="AG103" s="82"/>
      <c r="AH103" s="82"/>
      <c r="AI103" s="82"/>
      <c r="AJ103" s="82"/>
      <c r="AK103" s="82"/>
      <c r="AL103" s="82"/>
      <c r="AM103" s="82"/>
      <c r="AN103" s="82"/>
    </row>
    <row r="104" spans="1:40" ht="15.75" customHeight="1" x14ac:dyDescent="0.25">
      <c r="A104" s="227"/>
      <c r="B104" s="230" t="s">
        <v>32</v>
      </c>
      <c r="C104" s="227"/>
      <c r="D104" s="227"/>
      <c r="E104" s="227"/>
      <c r="F104" s="542" t="s">
        <v>13</v>
      </c>
      <c r="G104" s="543"/>
      <c r="H104" s="543"/>
      <c r="I104" s="543"/>
      <c r="J104" s="543"/>
      <c r="K104" s="543"/>
      <c r="L104" s="543"/>
      <c r="M104" s="543"/>
      <c r="N104" s="227"/>
      <c r="O104" s="227"/>
      <c r="P104" s="232"/>
      <c r="Q104" s="94" t="s">
        <v>130</v>
      </c>
      <c r="R104" s="81"/>
      <c r="S104" s="81"/>
      <c r="T104" s="81"/>
      <c r="U104" s="88"/>
      <c r="V104" s="81"/>
      <c r="W104" s="81"/>
      <c r="X104" s="81"/>
      <c r="Y104" s="82"/>
      <c r="Z104" s="82"/>
      <c r="AA104" s="82"/>
      <c r="AB104" s="82"/>
      <c r="AC104" s="82"/>
      <c r="AD104" s="82"/>
      <c r="AE104" s="82"/>
      <c r="AF104" s="82"/>
      <c r="AG104" s="82"/>
      <c r="AH104" s="82"/>
      <c r="AI104" s="82"/>
      <c r="AJ104" s="82"/>
      <c r="AK104" s="82"/>
      <c r="AL104" s="82"/>
      <c r="AM104" s="82"/>
      <c r="AN104" s="82"/>
    </row>
    <row r="105" spans="1:40" ht="20.7" customHeight="1" x14ac:dyDescent="0.25">
      <c r="A105" s="227"/>
      <c r="B105" s="230"/>
      <c r="C105" s="227"/>
      <c r="D105" s="227"/>
      <c r="E105" s="227"/>
      <c r="F105" s="533" t="s">
        <v>31</v>
      </c>
      <c r="G105" s="534"/>
      <c r="H105" s="541" t="s">
        <v>110</v>
      </c>
      <c r="I105" s="541"/>
      <c r="J105" s="519" t="s">
        <v>92</v>
      </c>
      <c r="K105" s="519"/>
      <c r="L105" s="524" t="s">
        <v>91</v>
      </c>
      <c r="M105" s="524"/>
      <c r="N105" s="227"/>
      <c r="O105" s="227"/>
      <c r="P105" s="232"/>
      <c r="Q105" s="94" t="s">
        <v>130</v>
      </c>
      <c r="R105" s="81"/>
      <c r="S105" s="81"/>
      <c r="T105" s="81"/>
      <c r="U105" s="88"/>
      <c r="V105" s="81"/>
      <c r="W105" s="81"/>
      <c r="X105" s="81"/>
      <c r="Y105" s="82"/>
      <c r="Z105" s="82"/>
      <c r="AA105" s="82"/>
      <c r="AB105" s="82"/>
      <c r="AC105" s="82"/>
      <c r="AD105" s="82"/>
      <c r="AE105" s="82"/>
      <c r="AF105" s="82"/>
      <c r="AG105" s="82"/>
      <c r="AH105" s="82"/>
      <c r="AI105" s="82"/>
      <c r="AJ105" s="82"/>
      <c r="AK105" s="82"/>
      <c r="AL105" s="82"/>
      <c r="AM105" s="82"/>
      <c r="AN105" s="82"/>
    </row>
    <row r="106" spans="1:40" ht="20.7" customHeight="1" x14ac:dyDescent="0.25">
      <c r="A106" s="227"/>
      <c r="B106" s="230" t="s">
        <v>32</v>
      </c>
      <c r="C106" s="227"/>
      <c r="D106" s="227"/>
      <c r="E106" s="227"/>
      <c r="F106" s="535" t="s">
        <v>1</v>
      </c>
      <c r="G106" s="536"/>
      <c r="H106" s="531">
        <f>(-'ادخال  التوقعات المالية'!C169-'ادخال  التوقعات المالية'!C170)*$U$1</f>
        <v>-1600000</v>
      </c>
      <c r="I106" s="532"/>
      <c r="J106" s="520"/>
      <c r="K106" s="521"/>
      <c r="L106" s="525">
        <f>-H106</f>
        <v>1600000</v>
      </c>
      <c r="M106" s="526"/>
      <c r="N106" s="227"/>
      <c r="O106" s="227"/>
      <c r="P106" s="232"/>
      <c r="Q106" s="94" t="s">
        <v>130</v>
      </c>
      <c r="R106" s="81"/>
      <c r="S106" s="81"/>
      <c r="T106" s="85"/>
      <c r="U106" s="93">
        <f>IF(L106/H107&lt;0,2,L106/H107)</f>
        <v>2</v>
      </c>
      <c r="V106" s="81"/>
      <c r="W106" s="81"/>
      <c r="X106" s="81"/>
      <c r="Y106" s="82"/>
      <c r="Z106" s="82"/>
      <c r="AA106" s="82"/>
      <c r="AB106" s="82"/>
      <c r="AC106" s="82"/>
      <c r="AD106" s="82"/>
      <c r="AE106" s="82"/>
      <c r="AF106" s="82"/>
      <c r="AG106" s="82"/>
      <c r="AH106" s="82"/>
      <c r="AI106" s="82"/>
      <c r="AJ106" s="82"/>
      <c r="AK106" s="82"/>
      <c r="AL106" s="82"/>
      <c r="AM106" s="82"/>
      <c r="AN106" s="82"/>
    </row>
    <row r="107" spans="1:40" ht="20.7" customHeight="1" x14ac:dyDescent="0.25">
      <c r="A107" s="227"/>
      <c r="B107" s="230" t="s">
        <v>32</v>
      </c>
      <c r="C107" s="227"/>
      <c r="D107" s="227"/>
      <c r="E107" s="227"/>
      <c r="F107" s="535" t="s">
        <v>28</v>
      </c>
      <c r="G107" s="536"/>
      <c r="H107" s="531">
        <f>J247-I247</f>
        <v>-33398.683117474662</v>
      </c>
      <c r="I107" s="532"/>
      <c r="J107" s="520">
        <f>H107+J106</f>
        <v>-33398.683117474662</v>
      </c>
      <c r="K107" s="521"/>
      <c r="L107" s="525">
        <f>L106-H107</f>
        <v>1633398.6831174747</v>
      </c>
      <c r="M107" s="526"/>
      <c r="N107" s="227"/>
      <c r="O107" s="227"/>
      <c r="P107" s="232"/>
      <c r="Q107" s="94" t="s">
        <v>130</v>
      </c>
      <c r="R107" s="81"/>
      <c r="S107" s="81"/>
      <c r="T107" s="60">
        <f>IF(L107&gt;0,1,0)</f>
        <v>1</v>
      </c>
      <c r="U107" s="93">
        <f>IF(L107/H108&lt;0,2,L107/H108)</f>
        <v>2.581052157925543</v>
      </c>
      <c r="V107" s="81"/>
      <c r="W107" s="81"/>
      <c r="X107" s="81"/>
      <c r="Y107" s="82"/>
      <c r="Z107" s="82"/>
      <c r="AA107" s="82"/>
      <c r="AB107" s="82"/>
      <c r="AC107" s="82"/>
      <c r="AD107" s="82"/>
      <c r="AE107" s="82"/>
      <c r="AF107" s="82"/>
      <c r="AG107" s="82"/>
      <c r="AH107" s="82"/>
      <c r="AI107" s="82"/>
      <c r="AJ107" s="82"/>
      <c r="AK107" s="82"/>
      <c r="AL107" s="82"/>
      <c r="AM107" s="82"/>
      <c r="AN107" s="82"/>
    </row>
    <row r="108" spans="1:40" ht="20.7" customHeight="1" x14ac:dyDescent="0.25">
      <c r="A108" s="227"/>
      <c r="B108" s="230" t="s">
        <v>32</v>
      </c>
      <c r="C108" s="227"/>
      <c r="D108" s="227"/>
      <c r="E108" s="227"/>
      <c r="F108" s="535" t="s">
        <v>29</v>
      </c>
      <c r="G108" s="536"/>
      <c r="H108" s="531">
        <f>K247-J247</f>
        <v>632842.18341030297</v>
      </c>
      <c r="I108" s="532"/>
      <c r="J108" s="520">
        <f>H108+J107</f>
        <v>599443.50029282831</v>
      </c>
      <c r="K108" s="521"/>
      <c r="L108" s="525">
        <f>L107-H108</f>
        <v>1000556.4997071717</v>
      </c>
      <c r="M108" s="526"/>
      <c r="N108" s="227"/>
      <c r="O108" s="227"/>
      <c r="P108" s="232"/>
      <c r="Q108" s="94" t="s">
        <v>130</v>
      </c>
      <c r="R108" s="81"/>
      <c r="S108" s="81"/>
      <c r="T108" s="60">
        <f>IF(L108&gt;0,1,0)</f>
        <v>1</v>
      </c>
      <c r="U108" s="93">
        <f>IF(L108/H109&lt;0,2,L108/H109)</f>
        <v>0.7905997755903853</v>
      </c>
      <c r="V108" s="81"/>
      <c r="W108" s="81"/>
      <c r="X108" s="81"/>
      <c r="Y108" s="82"/>
      <c r="Z108" s="82"/>
      <c r="AA108" s="82"/>
      <c r="AB108" s="82"/>
      <c r="AC108" s="82"/>
      <c r="AD108" s="82"/>
      <c r="AE108" s="82"/>
      <c r="AF108" s="82"/>
      <c r="AG108" s="82"/>
      <c r="AH108" s="82"/>
      <c r="AI108" s="82"/>
      <c r="AJ108" s="82"/>
      <c r="AK108" s="82"/>
      <c r="AL108" s="82"/>
      <c r="AM108" s="82"/>
      <c r="AN108" s="82"/>
    </row>
    <row r="109" spans="1:40" ht="20.7" customHeight="1" x14ac:dyDescent="0.25">
      <c r="A109" s="227"/>
      <c r="B109" s="230" t="s">
        <v>32</v>
      </c>
      <c r="C109" s="227"/>
      <c r="D109" s="227"/>
      <c r="E109" s="227"/>
      <c r="F109" s="535" t="s">
        <v>30</v>
      </c>
      <c r="G109" s="536"/>
      <c r="H109" s="537">
        <f>L247-K247</f>
        <v>1265566.3846603041</v>
      </c>
      <c r="I109" s="538"/>
      <c r="J109" s="527">
        <f>H109+J108</f>
        <v>1865009.8849531324</v>
      </c>
      <c r="K109" s="528"/>
      <c r="L109" s="529">
        <f>L108-H109</f>
        <v>-265009.88495313236</v>
      </c>
      <c r="M109" s="530"/>
      <c r="N109" s="227"/>
      <c r="O109" s="227"/>
      <c r="P109" s="232"/>
      <c r="Q109" s="94" t="s">
        <v>130</v>
      </c>
      <c r="R109" s="81"/>
      <c r="S109" s="81"/>
      <c r="T109" s="60">
        <f>IF(L109&gt;0,1,0)</f>
        <v>0</v>
      </c>
      <c r="U109" s="93">
        <f>IF(L109/H110&lt;0,2,L109/H110)</f>
        <v>2</v>
      </c>
      <c r="V109" s="81"/>
      <c r="W109" s="81"/>
      <c r="X109" s="81"/>
      <c r="Y109" s="82"/>
      <c r="Z109" s="82"/>
      <c r="AA109" s="82"/>
      <c r="AB109" s="82"/>
      <c r="AC109" s="82"/>
      <c r="AD109" s="82"/>
      <c r="AE109" s="82"/>
      <c r="AF109" s="82"/>
      <c r="AG109" s="82"/>
      <c r="AH109" s="82"/>
      <c r="AI109" s="82"/>
      <c r="AJ109" s="82"/>
      <c r="AK109" s="82"/>
      <c r="AL109" s="82"/>
      <c r="AM109" s="82"/>
      <c r="AN109" s="82"/>
    </row>
    <row r="110" spans="1:40" ht="20.7" customHeight="1" x14ac:dyDescent="0.25">
      <c r="A110" s="227"/>
      <c r="B110" s="230"/>
      <c r="C110" s="227"/>
      <c r="D110" s="227"/>
      <c r="E110" s="227"/>
      <c r="F110" s="535" t="s">
        <v>117</v>
      </c>
      <c r="G110" s="536"/>
      <c r="H110" s="537">
        <f>M247-L247</f>
        <v>1590364.4632714149</v>
      </c>
      <c r="I110" s="538"/>
      <c r="J110" s="527">
        <f>H110+J109</f>
        <v>3455374.3482245472</v>
      </c>
      <c r="K110" s="528"/>
      <c r="L110" s="529">
        <f>L109-H110</f>
        <v>-1855374.3482245472</v>
      </c>
      <c r="M110" s="530"/>
      <c r="N110" s="227"/>
      <c r="O110" s="227"/>
      <c r="P110" s="232"/>
      <c r="Q110" s="94" t="s">
        <v>130</v>
      </c>
      <c r="R110" s="81"/>
      <c r="S110" s="81"/>
      <c r="T110" s="60">
        <f>IF(L110&gt;0,1,0)</f>
        <v>0</v>
      </c>
      <c r="U110" s="93">
        <f>IF(L110/H111&lt;0,2,L110/H111)</f>
        <v>2</v>
      </c>
      <c r="V110" s="81"/>
      <c r="W110" s="81"/>
      <c r="X110" s="81"/>
      <c r="Y110" s="82"/>
      <c r="Z110" s="82"/>
      <c r="AA110" s="82"/>
      <c r="AB110" s="82"/>
      <c r="AC110" s="82"/>
      <c r="AD110" s="82"/>
      <c r="AE110" s="82"/>
      <c r="AF110" s="82"/>
      <c r="AG110" s="82"/>
      <c r="AH110" s="82"/>
      <c r="AI110" s="82"/>
      <c r="AJ110" s="82"/>
      <c r="AK110" s="82"/>
      <c r="AL110" s="82"/>
      <c r="AM110" s="82"/>
      <c r="AN110" s="82"/>
    </row>
    <row r="111" spans="1:40" ht="20.7" customHeight="1" x14ac:dyDescent="0.25">
      <c r="A111" s="227"/>
      <c r="B111" s="230"/>
      <c r="C111" s="227"/>
      <c r="D111" s="227"/>
      <c r="E111" s="227"/>
      <c r="F111" s="535" t="s">
        <v>118</v>
      </c>
      <c r="G111" s="536"/>
      <c r="H111" s="537">
        <f>N247-M247</f>
        <v>1960584.9307714151</v>
      </c>
      <c r="I111" s="538"/>
      <c r="J111" s="527">
        <f>H111+J110</f>
        <v>5415959.2789959628</v>
      </c>
      <c r="K111" s="528"/>
      <c r="L111" s="529">
        <f>L110-H111</f>
        <v>-3815959.2789959623</v>
      </c>
      <c r="M111" s="530"/>
      <c r="N111" s="227"/>
      <c r="O111" s="227"/>
      <c r="P111" s="232"/>
      <c r="Q111" s="94" t="s">
        <v>130</v>
      </c>
      <c r="R111" s="81"/>
      <c r="S111" s="81"/>
      <c r="T111" s="60">
        <f>IF(L111&gt;0,1,0)</f>
        <v>0</v>
      </c>
      <c r="U111" s="93"/>
      <c r="V111" s="81"/>
      <c r="W111" s="81"/>
      <c r="X111" s="81"/>
      <c r="Y111" s="82"/>
      <c r="Z111" s="82"/>
      <c r="AA111" s="82"/>
      <c r="AB111" s="82"/>
      <c r="AC111" s="82"/>
      <c r="AD111" s="82"/>
      <c r="AE111" s="82"/>
      <c r="AF111" s="82"/>
      <c r="AG111" s="82"/>
      <c r="AH111" s="82"/>
      <c r="AI111" s="82"/>
      <c r="AJ111" s="82"/>
      <c r="AK111" s="82"/>
      <c r="AL111" s="82"/>
      <c r="AM111" s="82"/>
      <c r="AN111" s="82"/>
    </row>
    <row r="112" spans="1:40" ht="20.7" customHeight="1" x14ac:dyDescent="0.25">
      <c r="A112" s="227"/>
      <c r="B112" s="230" t="s">
        <v>32</v>
      </c>
      <c r="C112" s="227"/>
      <c r="D112" s="227"/>
      <c r="E112" s="227"/>
      <c r="F112" s="544" t="s">
        <v>123</v>
      </c>
      <c r="G112" s="545"/>
      <c r="H112" s="244"/>
      <c r="I112" s="245"/>
      <c r="J112" s="246"/>
      <c r="K112" s="246"/>
      <c r="L112" s="522">
        <f>IF(T107=0,1,IF(SUM(T107:T111)&gt;=5,"اكثر من 5 سنوات",T112+U112))</f>
        <v>2.7905997755903851</v>
      </c>
      <c r="M112" s="523"/>
      <c r="N112" s="227"/>
      <c r="O112" s="227"/>
      <c r="P112" s="232"/>
      <c r="Q112" s="94" t="s">
        <v>130</v>
      </c>
      <c r="R112" s="81"/>
      <c r="S112" s="81"/>
      <c r="T112" s="85">
        <f>SUM(T107:T111)</f>
        <v>2</v>
      </c>
      <c r="U112" s="93">
        <f>MIN(U106:U111)</f>
        <v>0.7905997755903853</v>
      </c>
      <c r="V112" s="81"/>
      <c r="W112" s="81"/>
      <c r="X112" s="81"/>
      <c r="Y112" s="82"/>
      <c r="Z112" s="82"/>
      <c r="AA112" s="82"/>
      <c r="AB112" s="82"/>
      <c r="AC112" s="82"/>
      <c r="AD112" s="82"/>
      <c r="AE112" s="82"/>
      <c r="AF112" s="82"/>
      <c r="AG112" s="82"/>
      <c r="AH112" s="82"/>
      <c r="AI112" s="82"/>
      <c r="AJ112" s="82"/>
      <c r="AK112" s="82"/>
      <c r="AL112" s="82"/>
      <c r="AM112" s="82"/>
      <c r="AN112" s="82"/>
    </row>
    <row r="113" spans="1:40" ht="15" x14ac:dyDescent="0.25">
      <c r="A113" s="227"/>
      <c r="B113" s="230" t="s">
        <v>32</v>
      </c>
      <c r="C113" s="227"/>
      <c r="D113" s="227"/>
      <c r="E113" s="227"/>
      <c r="F113" s="227"/>
      <c r="G113" s="227"/>
      <c r="H113" s="227"/>
      <c r="I113" s="231"/>
      <c r="J113" s="227"/>
      <c r="K113" s="227"/>
      <c r="L113" s="227"/>
      <c r="M113" s="227"/>
      <c r="N113" s="227"/>
      <c r="O113" s="247"/>
      <c r="P113" s="232"/>
      <c r="Q113" s="94" t="s">
        <v>130</v>
      </c>
      <c r="R113" s="81"/>
      <c r="S113" s="81"/>
      <c r="T113" s="85"/>
      <c r="U113" s="88"/>
      <c r="V113" s="81"/>
      <c r="W113" s="81"/>
      <c r="X113" s="81"/>
      <c r="Y113" s="82"/>
      <c r="Z113" s="82"/>
      <c r="AA113" s="82"/>
      <c r="AB113" s="82"/>
      <c r="AC113" s="82"/>
      <c r="AD113" s="82"/>
      <c r="AE113" s="82"/>
      <c r="AF113" s="82"/>
      <c r="AG113" s="82"/>
      <c r="AH113" s="82"/>
      <c r="AI113" s="82"/>
      <c r="AJ113" s="82"/>
      <c r="AK113" s="82"/>
      <c r="AL113" s="82"/>
      <c r="AM113" s="82"/>
      <c r="AN113" s="82"/>
    </row>
    <row r="114" spans="1:40" ht="22.5" customHeight="1" x14ac:dyDescent="0.25">
      <c r="A114" s="227"/>
      <c r="B114" s="230" t="s">
        <v>32</v>
      </c>
      <c r="C114" s="227"/>
      <c r="D114" s="243"/>
      <c r="E114" s="248"/>
      <c r="F114" s="248"/>
      <c r="G114" s="248"/>
      <c r="H114" s="248"/>
      <c r="I114" s="249"/>
      <c r="J114" s="227"/>
      <c r="K114" s="227"/>
      <c r="L114" s="227"/>
      <c r="M114" s="227"/>
      <c r="N114" s="227"/>
      <c r="O114" s="227"/>
      <c r="P114" s="232"/>
      <c r="Q114" s="94" t="s">
        <v>130</v>
      </c>
      <c r="R114" s="81"/>
      <c r="S114" s="81"/>
      <c r="T114" s="85"/>
      <c r="U114" s="88"/>
      <c r="V114" s="81"/>
      <c r="W114" s="81"/>
      <c r="X114" s="81"/>
      <c r="Y114" s="82"/>
      <c r="Z114" s="82"/>
      <c r="AA114" s="82"/>
      <c r="AB114" s="82"/>
      <c r="AC114" s="82"/>
      <c r="AD114" s="82"/>
      <c r="AE114" s="82"/>
      <c r="AF114" s="82"/>
      <c r="AG114" s="82"/>
      <c r="AH114" s="82"/>
      <c r="AI114" s="82"/>
      <c r="AJ114" s="82"/>
      <c r="AK114" s="82"/>
      <c r="AL114" s="82"/>
      <c r="AM114" s="82"/>
      <c r="AN114" s="82"/>
    </row>
    <row r="115" spans="1:40" ht="38.1" customHeight="1" x14ac:dyDescent="0.25">
      <c r="A115" s="227"/>
      <c r="B115" s="230" t="s">
        <v>32</v>
      </c>
      <c r="C115" s="227"/>
      <c r="D115" s="250"/>
      <c r="E115" s="251"/>
      <c r="F115" s="251"/>
      <c r="G115" s="251"/>
      <c r="H115" s="251"/>
      <c r="I115" s="252"/>
      <c r="J115" s="250"/>
      <c r="K115" s="227"/>
      <c r="L115" s="227"/>
      <c r="M115" s="227"/>
      <c r="N115" s="227"/>
      <c r="O115" s="227"/>
      <c r="P115" s="232"/>
      <c r="Q115" s="94" t="s">
        <v>130</v>
      </c>
      <c r="R115" s="81"/>
      <c r="S115" s="81"/>
      <c r="T115" s="81"/>
      <c r="U115" s="88"/>
      <c r="V115" s="81"/>
      <c r="W115" s="81"/>
      <c r="X115" s="81"/>
      <c r="Y115" s="82"/>
      <c r="Z115" s="82"/>
      <c r="AA115" s="82"/>
      <c r="AB115" s="82"/>
      <c r="AC115" s="82"/>
      <c r="AD115" s="82"/>
      <c r="AE115" s="82"/>
      <c r="AF115" s="82"/>
      <c r="AG115" s="82"/>
      <c r="AH115" s="82"/>
      <c r="AI115" s="82"/>
      <c r="AJ115" s="82"/>
      <c r="AK115" s="82"/>
      <c r="AL115" s="82"/>
      <c r="AM115" s="82"/>
      <c r="AN115" s="82"/>
    </row>
    <row r="116" spans="1:40" ht="38.1" customHeight="1" x14ac:dyDescent="0.25">
      <c r="A116" s="227"/>
      <c r="B116" s="230" t="s">
        <v>32</v>
      </c>
      <c r="C116" s="227"/>
      <c r="D116" s="243"/>
      <c r="E116" s="251"/>
      <c r="F116" s="248" t="str">
        <f t="shared" ref="F116:F121" si="0">F106</f>
        <v>الاستثمار الأولي</v>
      </c>
      <c r="G116" s="253">
        <f>-H106</f>
        <v>1600000</v>
      </c>
      <c r="H116" s="253"/>
      <c r="I116" s="252"/>
      <c r="J116" s="250"/>
      <c r="K116" s="227"/>
      <c r="L116" s="227"/>
      <c r="M116" s="227"/>
      <c r="N116" s="227"/>
      <c r="O116" s="227"/>
      <c r="P116" s="232"/>
      <c r="Q116" s="94" t="s">
        <v>130</v>
      </c>
      <c r="R116" s="81"/>
      <c r="S116" s="81"/>
      <c r="T116" s="81"/>
      <c r="U116" s="81"/>
      <c r="V116" s="81"/>
      <c r="W116" s="81"/>
      <c r="X116" s="81"/>
      <c r="Y116" s="82"/>
      <c r="Z116" s="82"/>
      <c r="AA116" s="82"/>
      <c r="AB116" s="82"/>
      <c r="AC116" s="82"/>
      <c r="AD116" s="82"/>
      <c r="AE116" s="82"/>
      <c r="AF116" s="82"/>
      <c r="AG116" s="82"/>
      <c r="AH116" s="82"/>
      <c r="AI116" s="82"/>
      <c r="AJ116" s="82"/>
      <c r="AK116" s="82"/>
      <c r="AL116" s="82"/>
      <c r="AM116" s="82"/>
      <c r="AN116" s="82"/>
    </row>
    <row r="117" spans="1:40" ht="38.1" customHeight="1" x14ac:dyDescent="0.25">
      <c r="A117" s="227"/>
      <c r="B117" s="230" t="s">
        <v>32</v>
      </c>
      <c r="C117" s="227"/>
      <c r="D117" s="243"/>
      <c r="E117" s="251"/>
      <c r="F117" s="248" t="str">
        <f t="shared" si="0"/>
        <v>السنة 1</v>
      </c>
      <c r="G117" s="253">
        <f>+G116</f>
        <v>1600000</v>
      </c>
      <c r="H117" s="253">
        <f>+J107</f>
        <v>-33398.683117474662</v>
      </c>
      <c r="I117" s="252"/>
      <c r="J117" s="250"/>
      <c r="K117" s="227"/>
      <c r="L117" s="227"/>
      <c r="M117" s="227"/>
      <c r="N117" s="227"/>
      <c r="O117" s="227"/>
      <c r="P117" s="232"/>
      <c r="Q117" s="94" t="s">
        <v>130</v>
      </c>
      <c r="R117" s="81"/>
      <c r="S117" s="81"/>
      <c r="T117" s="81"/>
      <c r="U117" s="81"/>
      <c r="V117" s="81"/>
      <c r="W117" s="81"/>
      <c r="X117" s="81"/>
      <c r="Y117" s="82"/>
      <c r="Z117" s="82"/>
      <c r="AA117" s="82"/>
      <c r="AB117" s="82"/>
      <c r="AC117" s="82"/>
      <c r="AD117" s="82"/>
      <c r="AE117" s="82"/>
      <c r="AF117" s="82"/>
      <c r="AG117" s="82"/>
      <c r="AH117" s="82"/>
      <c r="AI117" s="82"/>
      <c r="AJ117" s="82"/>
      <c r="AK117" s="82"/>
      <c r="AL117" s="82"/>
      <c r="AM117" s="82"/>
      <c r="AN117" s="82"/>
    </row>
    <row r="118" spans="1:40" ht="38.1" customHeight="1" x14ac:dyDescent="0.25">
      <c r="A118" s="227"/>
      <c r="B118" s="230" t="s">
        <v>32</v>
      </c>
      <c r="C118" s="227"/>
      <c r="D118" s="243"/>
      <c r="E118" s="251"/>
      <c r="F118" s="248" t="str">
        <f t="shared" si="0"/>
        <v>السنة 2</v>
      </c>
      <c r="G118" s="253">
        <f>+G117</f>
        <v>1600000</v>
      </c>
      <c r="H118" s="253">
        <f>+J108</f>
        <v>599443.50029282831</v>
      </c>
      <c r="I118" s="252"/>
      <c r="J118" s="250"/>
      <c r="K118" s="227"/>
      <c r="L118" s="227"/>
      <c r="M118" s="227"/>
      <c r="N118" s="227"/>
      <c r="O118" s="227"/>
      <c r="P118" s="232"/>
      <c r="Q118" s="94" t="s">
        <v>130</v>
      </c>
      <c r="R118" s="81"/>
      <c r="S118" s="81"/>
      <c r="T118" s="81"/>
      <c r="U118" s="81"/>
      <c r="V118" s="81"/>
      <c r="W118" s="81"/>
      <c r="X118" s="81"/>
      <c r="Y118" s="82"/>
      <c r="Z118" s="82"/>
      <c r="AA118" s="82"/>
      <c r="AB118" s="82"/>
      <c r="AC118" s="82"/>
      <c r="AD118" s="82"/>
      <c r="AE118" s="82"/>
      <c r="AF118" s="82"/>
      <c r="AG118" s="82"/>
      <c r="AH118" s="82"/>
      <c r="AI118" s="82"/>
      <c r="AJ118" s="82"/>
      <c r="AK118" s="82"/>
      <c r="AL118" s="82"/>
      <c r="AM118" s="82"/>
      <c r="AN118" s="82"/>
    </row>
    <row r="119" spans="1:40" ht="38.1" customHeight="1" x14ac:dyDescent="0.25">
      <c r="A119" s="227"/>
      <c r="B119" s="230" t="s">
        <v>32</v>
      </c>
      <c r="C119" s="227"/>
      <c r="D119" s="243"/>
      <c r="E119" s="251"/>
      <c r="F119" s="248" t="str">
        <f t="shared" si="0"/>
        <v>السنة 3</v>
      </c>
      <c r="G119" s="253">
        <f>+G118</f>
        <v>1600000</v>
      </c>
      <c r="H119" s="253">
        <f>+J109</f>
        <v>1865009.8849531324</v>
      </c>
      <c r="I119" s="252"/>
      <c r="J119" s="250"/>
      <c r="K119" s="227"/>
      <c r="L119" s="227"/>
      <c r="M119" s="227"/>
      <c r="N119" s="227"/>
      <c r="O119" s="227"/>
      <c r="P119" s="232"/>
      <c r="Q119" s="94" t="s">
        <v>130</v>
      </c>
      <c r="R119" s="81"/>
      <c r="S119" s="81"/>
      <c r="T119" s="81"/>
      <c r="U119" s="81"/>
      <c r="V119" s="81"/>
      <c r="W119" s="81"/>
      <c r="X119" s="81"/>
      <c r="Y119" s="82"/>
      <c r="Z119" s="82"/>
      <c r="AA119" s="82"/>
      <c r="AB119" s="82"/>
      <c r="AC119" s="82"/>
      <c r="AD119" s="82"/>
      <c r="AE119" s="82"/>
      <c r="AF119" s="82"/>
      <c r="AG119" s="82"/>
      <c r="AH119" s="82"/>
      <c r="AI119" s="82"/>
      <c r="AJ119" s="82"/>
      <c r="AK119" s="82"/>
      <c r="AL119" s="82"/>
      <c r="AM119" s="82"/>
      <c r="AN119" s="82"/>
    </row>
    <row r="120" spans="1:40" ht="38.1" customHeight="1" x14ac:dyDescent="0.25">
      <c r="A120" s="227"/>
      <c r="B120" s="230" t="s">
        <v>32</v>
      </c>
      <c r="C120" s="227"/>
      <c r="D120" s="243"/>
      <c r="E120" s="251"/>
      <c r="F120" s="248" t="str">
        <f t="shared" si="0"/>
        <v>السنة 4</v>
      </c>
      <c r="G120" s="253">
        <f>+G119</f>
        <v>1600000</v>
      </c>
      <c r="H120" s="253">
        <f>+J110</f>
        <v>3455374.3482245472</v>
      </c>
      <c r="I120" s="252"/>
      <c r="J120" s="250"/>
      <c r="K120" s="227"/>
      <c r="L120" s="227"/>
      <c r="M120" s="227"/>
      <c r="N120" s="227"/>
      <c r="O120" s="227"/>
      <c r="P120" s="232"/>
      <c r="Q120" s="94" t="s">
        <v>130</v>
      </c>
      <c r="R120" s="81"/>
      <c r="S120" s="81"/>
      <c r="T120" s="81"/>
      <c r="U120" s="81"/>
      <c r="V120" s="81"/>
      <c r="W120" s="81"/>
      <c r="X120" s="81"/>
      <c r="Y120" s="82"/>
      <c r="Z120" s="82"/>
      <c r="AA120" s="82"/>
      <c r="AB120" s="82"/>
      <c r="AC120" s="82"/>
      <c r="AD120" s="82"/>
      <c r="AE120" s="82"/>
      <c r="AF120" s="82"/>
      <c r="AG120" s="82"/>
      <c r="AH120" s="82"/>
      <c r="AI120" s="82"/>
      <c r="AJ120" s="82"/>
      <c r="AK120" s="82"/>
      <c r="AL120" s="82"/>
      <c r="AM120" s="82"/>
      <c r="AN120" s="82"/>
    </row>
    <row r="121" spans="1:40" ht="38.1" customHeight="1" x14ac:dyDescent="0.25">
      <c r="A121" s="227"/>
      <c r="B121" s="230" t="s">
        <v>32</v>
      </c>
      <c r="C121" s="227"/>
      <c r="D121" s="243"/>
      <c r="E121" s="250"/>
      <c r="F121" s="248" t="str">
        <f t="shared" si="0"/>
        <v>السنة 5</v>
      </c>
      <c r="G121" s="253">
        <f>+G120</f>
        <v>1600000</v>
      </c>
      <c r="H121" s="253">
        <f>+J111</f>
        <v>5415959.2789959628</v>
      </c>
      <c r="I121" s="254"/>
      <c r="J121" s="250"/>
      <c r="K121" s="227"/>
      <c r="L121" s="227"/>
      <c r="M121" s="227"/>
      <c r="N121" s="227"/>
      <c r="O121" s="227"/>
      <c r="P121" s="232"/>
      <c r="Q121" s="94" t="s">
        <v>130</v>
      </c>
      <c r="R121" s="81"/>
      <c r="S121" s="81"/>
      <c r="T121" s="81"/>
      <c r="U121" s="81"/>
      <c r="V121" s="81"/>
      <c r="W121" s="81"/>
      <c r="X121" s="81"/>
      <c r="Y121" s="82"/>
      <c r="Z121" s="82"/>
      <c r="AA121" s="82"/>
      <c r="AB121" s="82"/>
      <c r="AC121" s="82"/>
      <c r="AD121" s="82"/>
      <c r="AE121" s="82"/>
      <c r="AF121" s="82"/>
      <c r="AG121" s="82"/>
      <c r="AH121" s="82"/>
      <c r="AI121" s="82"/>
      <c r="AJ121" s="82"/>
      <c r="AK121" s="82"/>
      <c r="AL121" s="82"/>
      <c r="AM121" s="82"/>
      <c r="AN121" s="82"/>
    </row>
    <row r="122" spans="1:40" ht="38.1" customHeight="1" x14ac:dyDescent="0.25">
      <c r="A122" s="227"/>
      <c r="B122" s="230" t="s">
        <v>32</v>
      </c>
      <c r="C122" s="227"/>
      <c r="D122" s="250"/>
      <c r="E122" s="250"/>
      <c r="F122" s="248"/>
      <c r="G122" s="253"/>
      <c r="H122" s="253"/>
      <c r="I122" s="254"/>
      <c r="J122" s="250"/>
      <c r="K122" s="227"/>
      <c r="L122" s="227"/>
      <c r="M122" s="227"/>
      <c r="N122" s="227"/>
      <c r="O122" s="227"/>
      <c r="P122" s="232"/>
      <c r="Q122" s="94" t="s">
        <v>130</v>
      </c>
      <c r="R122" s="81"/>
      <c r="S122" s="81"/>
      <c r="T122" s="81"/>
      <c r="U122" s="81"/>
      <c r="V122" s="81"/>
      <c r="W122" s="81"/>
      <c r="X122" s="81"/>
      <c r="Y122" s="82"/>
      <c r="Z122" s="82"/>
      <c r="AA122" s="82"/>
      <c r="AB122" s="82"/>
      <c r="AC122" s="82"/>
      <c r="AD122" s="82"/>
      <c r="AE122" s="82"/>
      <c r="AF122" s="82"/>
      <c r="AG122" s="82"/>
      <c r="AH122" s="82"/>
      <c r="AI122" s="82"/>
      <c r="AJ122" s="82"/>
      <c r="AK122" s="82"/>
      <c r="AL122" s="82"/>
      <c r="AM122" s="82"/>
      <c r="AN122" s="82"/>
    </row>
    <row r="123" spans="1:40" ht="36.75" customHeight="1" x14ac:dyDescent="0.25">
      <c r="A123" s="227"/>
      <c r="B123" s="230" t="s">
        <v>32</v>
      </c>
      <c r="C123" s="227"/>
      <c r="D123" s="250"/>
      <c r="E123" s="250"/>
      <c r="F123" s="250"/>
      <c r="G123" s="250"/>
      <c r="H123" s="250"/>
      <c r="I123" s="254"/>
      <c r="J123" s="227"/>
      <c r="K123" s="227"/>
      <c r="L123" s="227"/>
      <c r="M123" s="227"/>
      <c r="N123" s="227"/>
      <c r="O123" s="227"/>
      <c r="P123" s="232"/>
      <c r="Q123" s="94" t="s">
        <v>130</v>
      </c>
      <c r="R123" s="81"/>
      <c r="S123" s="81"/>
      <c r="T123" s="81"/>
      <c r="U123" s="81"/>
      <c r="V123" s="81"/>
      <c r="W123" s="81"/>
      <c r="X123" s="81"/>
      <c r="Y123" s="82"/>
      <c r="Z123" s="82"/>
      <c r="AA123" s="82"/>
      <c r="AB123" s="82"/>
      <c r="AC123" s="82"/>
      <c r="AD123" s="82"/>
      <c r="AE123" s="82"/>
      <c r="AF123" s="82"/>
      <c r="AG123" s="82"/>
      <c r="AH123" s="82"/>
      <c r="AI123" s="82"/>
      <c r="AJ123" s="82"/>
      <c r="AK123" s="82"/>
      <c r="AL123" s="82"/>
      <c r="AM123" s="82"/>
      <c r="AN123" s="82"/>
    </row>
    <row r="124" spans="1:40" ht="27.75" customHeight="1" x14ac:dyDescent="0.25">
      <c r="A124" s="227"/>
      <c r="B124" s="230" t="s">
        <v>32</v>
      </c>
      <c r="C124" s="317"/>
      <c r="D124" s="317"/>
      <c r="E124" s="318"/>
      <c r="F124" s="318" t="s">
        <v>44</v>
      </c>
      <c r="G124" s="318"/>
      <c r="H124" s="318"/>
      <c r="I124" s="318"/>
      <c r="J124" s="318"/>
      <c r="K124" s="318"/>
      <c r="L124" s="318"/>
      <c r="M124" s="318"/>
      <c r="N124" s="318"/>
      <c r="O124" s="318"/>
      <c r="P124" s="232"/>
      <c r="Q124" s="94" t="s">
        <v>130</v>
      </c>
      <c r="R124" s="81"/>
      <c r="S124" s="81"/>
      <c r="T124" s="81"/>
      <c r="U124" s="81"/>
      <c r="V124" s="81"/>
      <c r="W124" s="81"/>
      <c r="X124" s="81"/>
      <c r="Y124" s="82"/>
      <c r="Z124" s="82"/>
      <c r="AA124" s="82"/>
      <c r="AB124" s="82"/>
      <c r="AC124" s="82"/>
      <c r="AD124" s="82"/>
      <c r="AE124" s="82"/>
      <c r="AF124" s="82"/>
      <c r="AG124" s="82"/>
      <c r="AH124" s="82"/>
      <c r="AI124" s="82"/>
      <c r="AJ124" s="82"/>
      <c r="AK124" s="82"/>
      <c r="AL124" s="82"/>
      <c r="AM124" s="82"/>
      <c r="AN124" s="82"/>
    </row>
    <row r="125" spans="1:40" ht="15.6" x14ac:dyDescent="0.25">
      <c r="A125" s="227"/>
      <c r="B125" s="230" t="s">
        <v>32</v>
      </c>
      <c r="C125" s="227"/>
      <c r="D125" s="77"/>
      <c r="E125" s="227"/>
      <c r="F125" s="77"/>
      <c r="G125" s="227"/>
      <c r="H125" s="227"/>
      <c r="I125" s="231"/>
      <c r="J125" s="227"/>
      <c r="K125" s="227"/>
      <c r="L125" s="227"/>
      <c r="M125" s="227"/>
      <c r="N125" s="227"/>
      <c r="O125" s="227"/>
      <c r="P125" s="232"/>
      <c r="Q125" s="94" t="s">
        <v>130</v>
      </c>
      <c r="R125" s="81"/>
      <c r="S125" s="81"/>
      <c r="T125" s="81"/>
      <c r="U125" s="81"/>
      <c r="V125" s="81"/>
      <c r="W125" s="81"/>
      <c r="X125" s="81"/>
      <c r="Y125" s="82"/>
      <c r="Z125" s="82"/>
      <c r="AA125" s="82"/>
      <c r="AB125" s="82"/>
      <c r="AC125" s="82"/>
      <c r="AD125" s="82"/>
      <c r="AE125" s="82"/>
      <c r="AF125" s="82"/>
      <c r="AG125" s="82"/>
      <c r="AH125" s="82"/>
      <c r="AI125" s="82"/>
      <c r="AJ125" s="82"/>
      <c r="AK125" s="82"/>
      <c r="AL125" s="82"/>
      <c r="AM125" s="82"/>
      <c r="AN125" s="82"/>
    </row>
    <row r="126" spans="1:40" ht="30" customHeight="1" x14ac:dyDescent="0.25">
      <c r="A126" s="227"/>
      <c r="B126" s="230" t="s">
        <v>32</v>
      </c>
      <c r="C126" s="227"/>
      <c r="D126" s="553" t="s">
        <v>31</v>
      </c>
      <c r="E126" s="554"/>
      <c r="F126" s="554"/>
      <c r="G126" s="555"/>
      <c r="H126" s="59" t="s">
        <v>5</v>
      </c>
      <c r="I126" s="59" t="s">
        <v>112</v>
      </c>
      <c r="J126" s="59" t="s">
        <v>277</v>
      </c>
      <c r="K126" s="362">
        <f>J94</f>
        <v>2024</v>
      </c>
      <c r="L126" s="362">
        <f>K94</f>
        <v>2025</v>
      </c>
      <c r="M126" s="362">
        <f>L94</f>
        <v>2026</v>
      </c>
      <c r="N126" s="362">
        <f>M94</f>
        <v>2027</v>
      </c>
      <c r="O126" s="362">
        <f>N94</f>
        <v>2028</v>
      </c>
      <c r="P126" s="227"/>
      <c r="Q126" s="94" t="s">
        <v>130</v>
      </c>
      <c r="R126" s="98"/>
      <c r="S126" s="98"/>
      <c r="T126" s="81"/>
      <c r="U126" s="81"/>
      <c r="V126" s="81"/>
      <c r="W126" s="81"/>
      <c r="X126" s="81"/>
      <c r="Y126" s="82"/>
      <c r="Z126" s="82"/>
      <c r="AA126" s="82"/>
      <c r="AB126" s="82"/>
      <c r="AC126" s="82"/>
      <c r="AD126" s="82"/>
      <c r="AE126" s="82"/>
      <c r="AF126" s="82"/>
      <c r="AG126" s="82"/>
      <c r="AH126" s="82"/>
      <c r="AI126" s="82"/>
      <c r="AJ126" s="82"/>
      <c r="AK126" s="82"/>
      <c r="AL126" s="82"/>
      <c r="AM126" s="82"/>
      <c r="AN126" s="82"/>
    </row>
    <row r="127" spans="1:40" ht="24" customHeight="1" x14ac:dyDescent="0.25">
      <c r="A127" s="227"/>
      <c r="B127" s="230" t="s">
        <v>32</v>
      </c>
      <c r="C127" s="227"/>
      <c r="D127" s="503" t="str">
        <f>'ادخال  التوقعات المالية'!B24</f>
        <v xml:space="preserve">كمبيوترات و برامج محاسبية </v>
      </c>
      <c r="E127" s="504"/>
      <c r="F127" s="504"/>
      <c r="G127" s="505"/>
      <c r="H127" s="255">
        <f>'ادخال  التوقعات المالية'!C24</f>
        <v>4</v>
      </c>
      <c r="I127" s="255">
        <f>'ادخال  التوقعات المالية'!E24*$U$1</f>
        <v>9000</v>
      </c>
      <c r="J127" s="256">
        <f>'ادخال  التوقعات المالية'!F24</f>
        <v>3</v>
      </c>
      <c r="K127" s="256">
        <f>'ادخال  التوقعات المالية'!G24*$U$1</f>
        <v>3000</v>
      </c>
      <c r="L127" s="256">
        <f>'ادخال  التوقعات المالية'!H24*$U$1</f>
        <v>3000</v>
      </c>
      <c r="M127" s="256">
        <f>'ادخال  التوقعات المالية'!I24*$U$1</f>
        <v>3000</v>
      </c>
      <c r="N127" s="256">
        <f>'ادخال  التوقعات المالية'!J24*$U$1</f>
        <v>0</v>
      </c>
      <c r="O127" s="256">
        <f>'ادخال  التوقعات المالية'!K24*$U$1</f>
        <v>0</v>
      </c>
      <c r="P127" s="243" t="str">
        <f>D127</f>
        <v xml:space="preserve">كمبيوترات و برامج محاسبية </v>
      </c>
      <c r="Q127" s="94" t="str">
        <f>IF(I127&gt;0,"Yes","-")</f>
        <v>Yes</v>
      </c>
      <c r="R127" s="98"/>
      <c r="S127" s="98">
        <f>I127</f>
        <v>9000</v>
      </c>
      <c r="T127" s="81"/>
      <c r="U127" s="81"/>
      <c r="V127" s="81"/>
      <c r="W127" s="81"/>
      <c r="X127" s="81"/>
      <c r="Y127" s="82"/>
      <c r="Z127" s="82"/>
      <c r="AA127" s="82"/>
      <c r="AB127" s="82"/>
      <c r="AC127" s="82"/>
      <c r="AD127" s="82"/>
      <c r="AE127" s="82"/>
      <c r="AF127" s="82"/>
      <c r="AG127" s="82"/>
      <c r="AH127" s="82"/>
      <c r="AI127" s="82"/>
      <c r="AJ127" s="82"/>
      <c r="AK127" s="82"/>
      <c r="AL127" s="82"/>
      <c r="AM127" s="82"/>
      <c r="AN127" s="82"/>
    </row>
    <row r="128" spans="1:40" ht="24" customHeight="1" x14ac:dyDescent="0.25">
      <c r="A128" s="227"/>
      <c r="B128" s="230" t="s">
        <v>32</v>
      </c>
      <c r="C128" s="227"/>
      <c r="D128" s="503" t="str">
        <f>'ادخال  التوقعات المالية'!B28</f>
        <v>اثاث و ديكور</v>
      </c>
      <c r="E128" s="504"/>
      <c r="F128" s="504"/>
      <c r="G128" s="505"/>
      <c r="H128" s="255">
        <f>'ادخال  التوقعات المالية'!C28</f>
        <v>9</v>
      </c>
      <c r="I128" s="255">
        <f>'ادخال  التوقعات المالية'!E28*$U$1</f>
        <v>300000</v>
      </c>
      <c r="J128" s="256">
        <f>'ادخال  التوقعات المالية'!F28</f>
        <v>5</v>
      </c>
      <c r="K128" s="256">
        <f>'ادخال  التوقعات المالية'!G28*$U$1</f>
        <v>60000</v>
      </c>
      <c r="L128" s="256">
        <f>'ادخال  التوقعات المالية'!H28*$U$1</f>
        <v>60000</v>
      </c>
      <c r="M128" s="256">
        <f>'ادخال  التوقعات المالية'!I28*$U$1</f>
        <v>60000</v>
      </c>
      <c r="N128" s="256">
        <f>'ادخال  التوقعات المالية'!J28*$U$1</f>
        <v>60000</v>
      </c>
      <c r="O128" s="256">
        <f>'ادخال  التوقعات المالية'!K28*$U$1</f>
        <v>60000</v>
      </c>
      <c r="P128" s="243" t="str">
        <f>D128</f>
        <v>اثاث و ديكور</v>
      </c>
      <c r="Q128" s="94" t="str">
        <f>IF(I128&gt;0,"Yes","-")</f>
        <v>Yes</v>
      </c>
      <c r="R128" s="98"/>
      <c r="S128" s="98">
        <f>I128</f>
        <v>300000</v>
      </c>
      <c r="T128" s="81"/>
      <c r="U128" s="81"/>
      <c r="V128" s="81"/>
      <c r="W128" s="81"/>
      <c r="X128" s="81"/>
      <c r="Y128" s="82"/>
      <c r="Z128" s="82"/>
      <c r="AA128" s="82"/>
      <c r="AB128" s="82"/>
      <c r="AC128" s="82"/>
      <c r="AD128" s="82"/>
      <c r="AE128" s="82"/>
      <c r="AF128" s="82"/>
      <c r="AG128" s="82"/>
      <c r="AH128" s="82"/>
      <c r="AI128" s="82"/>
      <c r="AJ128" s="82"/>
      <c r="AK128" s="82"/>
      <c r="AL128" s="82"/>
      <c r="AM128" s="82"/>
      <c r="AN128" s="82"/>
    </row>
    <row r="129" spans="1:40" ht="24" customHeight="1" x14ac:dyDescent="0.25">
      <c r="A129" s="227"/>
      <c r="B129" s="230" t="s">
        <v>32</v>
      </c>
      <c r="C129" s="227"/>
      <c r="D129" s="503" t="str">
        <f>'ادخال  التوقعات المالية'!B32</f>
        <v>سيارات</v>
      </c>
      <c r="E129" s="504"/>
      <c r="F129" s="504"/>
      <c r="G129" s="505"/>
      <c r="H129" s="255">
        <f>'ادخال  التوقعات المالية'!C32</f>
        <v>2</v>
      </c>
      <c r="I129" s="255">
        <f>'ادخال  التوقعات المالية'!E32*$U$1</f>
        <v>100000</v>
      </c>
      <c r="J129" s="256">
        <f>'ادخال  التوقعات المالية'!F32</f>
        <v>5</v>
      </c>
      <c r="K129" s="256">
        <f>'ادخال  التوقعات المالية'!G32*$U$1</f>
        <v>20000</v>
      </c>
      <c r="L129" s="256">
        <f>'ادخال  التوقعات المالية'!H32*$U$1</f>
        <v>20000</v>
      </c>
      <c r="M129" s="256">
        <f>'ادخال  التوقعات المالية'!I32*$U$1</f>
        <v>20000</v>
      </c>
      <c r="N129" s="256">
        <f>'ادخال  التوقعات المالية'!J32*$U$1</f>
        <v>20000</v>
      </c>
      <c r="O129" s="256">
        <f>'ادخال  التوقعات المالية'!K32*$U$1</f>
        <v>20000</v>
      </c>
      <c r="P129" s="243" t="str">
        <f>D129</f>
        <v>سيارات</v>
      </c>
      <c r="Q129" s="94" t="str">
        <f>IF(I129&gt;0,"Yes","-")</f>
        <v>Yes</v>
      </c>
      <c r="R129" s="98"/>
      <c r="S129" s="98">
        <f>I129</f>
        <v>100000</v>
      </c>
      <c r="T129" s="81"/>
      <c r="U129" s="81"/>
      <c r="V129" s="81"/>
      <c r="W129" s="81"/>
      <c r="X129" s="81"/>
      <c r="Y129" s="82"/>
      <c r="Z129" s="82"/>
      <c r="AA129" s="82"/>
      <c r="AB129" s="82"/>
      <c r="AC129" s="82"/>
      <c r="AD129" s="82"/>
      <c r="AE129" s="82"/>
      <c r="AF129" s="82"/>
      <c r="AG129" s="82"/>
      <c r="AH129" s="82"/>
      <c r="AI129" s="82"/>
      <c r="AJ129" s="82"/>
      <c r="AK129" s="82"/>
      <c r="AL129" s="82"/>
      <c r="AM129" s="82"/>
      <c r="AN129" s="82"/>
    </row>
    <row r="130" spans="1:40" ht="24" customHeight="1" x14ac:dyDescent="0.25">
      <c r="A130" s="227"/>
      <c r="B130" s="230" t="s">
        <v>32</v>
      </c>
      <c r="C130" s="227"/>
      <c r="D130" s="503" t="str">
        <f>'ادخال  التوقعات المالية'!B36</f>
        <v xml:space="preserve">الات و معدات </v>
      </c>
      <c r="E130" s="504"/>
      <c r="F130" s="504"/>
      <c r="G130" s="505"/>
      <c r="H130" s="255">
        <f>'ادخال  التوقعات المالية'!C36</f>
        <v>2</v>
      </c>
      <c r="I130" s="255">
        <f>'ادخال  التوقعات المالية'!E36*$U$1</f>
        <v>4000</v>
      </c>
      <c r="J130" s="256">
        <f>'ادخال  التوقعات المالية'!F36</f>
        <v>5</v>
      </c>
      <c r="K130" s="256">
        <f>'ادخال  التوقعات المالية'!G36*$U$1</f>
        <v>800</v>
      </c>
      <c r="L130" s="256">
        <f>'ادخال  التوقعات المالية'!H36*$U$1</f>
        <v>800</v>
      </c>
      <c r="M130" s="256">
        <f>'ادخال  التوقعات المالية'!I36*$U$1</f>
        <v>800</v>
      </c>
      <c r="N130" s="256">
        <f>'ادخال  التوقعات المالية'!J36*$U$1</f>
        <v>800</v>
      </c>
      <c r="O130" s="256">
        <f>'ادخال  التوقعات المالية'!K36*$U$1</f>
        <v>800</v>
      </c>
      <c r="P130" s="243" t="str">
        <f>D130</f>
        <v xml:space="preserve">الات و معدات </v>
      </c>
      <c r="Q130" s="94" t="str">
        <f>IF(I130&gt;0,"Yes","-")</f>
        <v>Yes</v>
      </c>
      <c r="R130" s="98"/>
      <c r="S130" s="98">
        <f>I130</f>
        <v>4000</v>
      </c>
      <c r="T130" s="81"/>
      <c r="U130" s="81"/>
      <c r="V130" s="81"/>
      <c r="W130" s="81"/>
      <c r="X130" s="81"/>
      <c r="Y130" s="82"/>
      <c r="Z130" s="82"/>
      <c r="AA130" s="82"/>
      <c r="AB130" s="82"/>
      <c r="AC130" s="82"/>
      <c r="AD130" s="82"/>
      <c r="AE130" s="82"/>
      <c r="AF130" s="82"/>
      <c r="AG130" s="82"/>
      <c r="AH130" s="82"/>
      <c r="AI130" s="82"/>
      <c r="AJ130" s="82"/>
      <c r="AK130" s="82"/>
      <c r="AL130" s="82"/>
      <c r="AM130" s="82"/>
      <c r="AN130" s="82"/>
    </row>
    <row r="131" spans="1:40" ht="25.2" customHeight="1" x14ac:dyDescent="0.25">
      <c r="A131" s="227"/>
      <c r="B131" s="230" t="s">
        <v>32</v>
      </c>
      <c r="C131" s="227"/>
      <c r="D131" s="503" t="str">
        <f>'ادخال  التوقعات المالية'!B40</f>
        <v>تطبيقات ومواقع الكترونية</v>
      </c>
      <c r="E131" s="504"/>
      <c r="F131" s="504"/>
      <c r="G131" s="505"/>
      <c r="H131" s="255">
        <f>'ادخال  التوقعات المالية'!C40</f>
        <v>3</v>
      </c>
      <c r="I131" s="255">
        <f>'ادخال  التوقعات المالية'!E40*$U$1</f>
        <v>30000</v>
      </c>
      <c r="J131" s="256">
        <f>'ادخال  التوقعات المالية'!F40</f>
        <v>5</v>
      </c>
      <c r="K131" s="256">
        <f>'ادخال  التوقعات المالية'!G40*$U$1</f>
        <v>6000</v>
      </c>
      <c r="L131" s="256">
        <f>'ادخال  التوقعات المالية'!H40*$U$1</f>
        <v>6000</v>
      </c>
      <c r="M131" s="256">
        <f>'ادخال  التوقعات المالية'!I40*$U$1</f>
        <v>6000</v>
      </c>
      <c r="N131" s="256">
        <f>'ادخال  التوقعات المالية'!J40*$U$1</f>
        <v>6000</v>
      </c>
      <c r="O131" s="256">
        <f>'ادخال  التوقعات المالية'!K40*$U$1</f>
        <v>6000</v>
      </c>
      <c r="P131" s="243" t="str">
        <f>D131</f>
        <v>تطبيقات ومواقع الكترونية</v>
      </c>
      <c r="Q131" s="94" t="str">
        <f>IF(I131&gt;0,"Yes","-")</f>
        <v>Yes</v>
      </c>
      <c r="R131" s="98"/>
      <c r="S131" s="98">
        <f>I131</f>
        <v>30000</v>
      </c>
      <c r="T131" s="81"/>
      <c r="U131" s="81"/>
      <c r="V131" s="81"/>
      <c r="W131" s="81"/>
      <c r="X131" s="81"/>
      <c r="Y131" s="82"/>
      <c r="Z131" s="82"/>
      <c r="AA131" s="82"/>
      <c r="AB131" s="82"/>
      <c r="AC131" s="82"/>
      <c r="AD131" s="82"/>
      <c r="AE131" s="82"/>
      <c r="AF131" s="82"/>
      <c r="AG131" s="82"/>
      <c r="AH131" s="82"/>
      <c r="AI131" s="82"/>
      <c r="AJ131" s="82"/>
      <c r="AK131" s="82"/>
      <c r="AL131" s="82"/>
      <c r="AM131" s="82"/>
      <c r="AN131" s="82"/>
    </row>
    <row r="132" spans="1:40" ht="24" customHeight="1" x14ac:dyDescent="0.25">
      <c r="A132" s="227"/>
      <c r="B132" s="230" t="s">
        <v>32</v>
      </c>
      <c r="C132" s="227"/>
      <c r="D132" s="546" t="s">
        <v>2</v>
      </c>
      <c r="E132" s="547"/>
      <c r="F132" s="547"/>
      <c r="G132" s="548"/>
      <c r="H132" s="257">
        <f>SUM(H127:H131)</f>
        <v>20</v>
      </c>
      <c r="I132" s="257">
        <f>SUM(I127:I131)</f>
        <v>443000</v>
      </c>
      <c r="J132" s="257"/>
      <c r="K132" s="257">
        <f>SUM(K127:K131)</f>
        <v>89800</v>
      </c>
      <c r="L132" s="257">
        <f>SUM(L127:L131)</f>
        <v>89800</v>
      </c>
      <c r="M132" s="257">
        <f>SUM(M127:M131)</f>
        <v>89800</v>
      </c>
      <c r="N132" s="257">
        <f>SUM(N127:N131)</f>
        <v>86800</v>
      </c>
      <c r="O132" s="257">
        <f>SUM(O127:O131)</f>
        <v>86800</v>
      </c>
      <c r="P132" s="227"/>
      <c r="Q132" s="94" t="s">
        <v>130</v>
      </c>
      <c r="R132" s="98"/>
      <c r="S132" s="98"/>
      <c r="T132" s="81"/>
      <c r="U132" s="81"/>
      <c r="V132" s="81"/>
      <c r="W132" s="81"/>
      <c r="X132" s="81"/>
      <c r="Y132" s="82"/>
      <c r="Z132" s="82"/>
      <c r="AA132" s="82"/>
      <c r="AB132" s="82"/>
      <c r="AC132" s="82"/>
      <c r="AD132" s="82"/>
      <c r="AE132" s="82"/>
      <c r="AF132" s="82"/>
      <c r="AG132" s="82"/>
      <c r="AH132" s="82"/>
      <c r="AI132" s="82"/>
      <c r="AJ132" s="82"/>
      <c r="AK132" s="82"/>
      <c r="AL132" s="82"/>
      <c r="AM132" s="82"/>
      <c r="AN132" s="82"/>
    </row>
    <row r="133" spans="1:40" ht="15" x14ac:dyDescent="0.25">
      <c r="A133" s="227"/>
      <c r="B133" s="230" t="s">
        <v>32</v>
      </c>
      <c r="C133" s="227"/>
      <c r="D133" s="227"/>
      <c r="E133" s="227"/>
      <c r="F133" s="227"/>
      <c r="G133" s="227"/>
      <c r="H133" s="227"/>
      <c r="I133" s="231"/>
      <c r="J133" s="227"/>
      <c r="K133" s="227"/>
      <c r="L133" s="227"/>
      <c r="M133" s="227"/>
      <c r="N133" s="227"/>
      <c r="O133" s="227"/>
      <c r="P133" s="232"/>
      <c r="Q133" s="94" t="s">
        <v>130</v>
      </c>
      <c r="R133" s="98"/>
      <c r="S133" s="98"/>
      <c r="T133" s="81"/>
      <c r="U133" s="81"/>
      <c r="V133" s="81"/>
      <c r="W133" s="81"/>
      <c r="X133" s="81"/>
      <c r="Y133" s="82"/>
      <c r="Z133" s="82"/>
      <c r="AA133" s="82"/>
      <c r="AB133" s="82"/>
      <c r="AC133" s="82"/>
      <c r="AD133" s="82"/>
      <c r="AE133" s="82"/>
      <c r="AF133" s="82"/>
      <c r="AG133" s="82"/>
      <c r="AH133" s="82"/>
      <c r="AI133" s="82"/>
      <c r="AJ133" s="82"/>
      <c r="AK133" s="82"/>
      <c r="AL133" s="82"/>
      <c r="AM133" s="82"/>
      <c r="AN133" s="82"/>
    </row>
    <row r="134" spans="1:40" ht="15" x14ac:dyDescent="0.25">
      <c r="A134" s="227"/>
      <c r="B134" s="230"/>
      <c r="C134" s="227"/>
      <c r="D134" s="227"/>
      <c r="E134" s="227"/>
      <c r="F134" s="227"/>
      <c r="G134" s="227"/>
      <c r="H134" s="227"/>
      <c r="I134" s="231"/>
      <c r="J134" s="227"/>
      <c r="K134" s="227"/>
      <c r="L134" s="227"/>
      <c r="M134" s="227"/>
      <c r="N134" s="227"/>
      <c r="O134" s="227"/>
      <c r="P134" s="232"/>
      <c r="Q134" s="94" t="s">
        <v>130</v>
      </c>
      <c r="R134" s="81"/>
      <c r="S134" s="81"/>
      <c r="T134" s="81"/>
      <c r="U134" s="81"/>
      <c r="V134" s="81"/>
      <c r="W134" s="81"/>
      <c r="X134" s="81"/>
      <c r="Y134" s="82"/>
      <c r="Z134" s="82"/>
      <c r="AA134" s="82"/>
      <c r="AB134" s="82"/>
      <c r="AC134" s="82"/>
      <c r="AD134" s="82"/>
      <c r="AE134" s="82"/>
      <c r="AF134" s="82"/>
      <c r="AG134" s="82"/>
      <c r="AH134" s="82"/>
      <c r="AI134" s="82"/>
      <c r="AJ134" s="82"/>
      <c r="AK134" s="82"/>
      <c r="AL134" s="82"/>
      <c r="AM134" s="82"/>
      <c r="AN134" s="82"/>
    </row>
    <row r="135" spans="1:40" ht="25.95" customHeight="1" x14ac:dyDescent="0.25">
      <c r="A135" s="227"/>
      <c r="B135" s="230"/>
      <c r="C135" s="227"/>
      <c r="D135" s="227"/>
      <c r="E135" s="227"/>
      <c r="F135" s="227"/>
      <c r="G135" s="227"/>
      <c r="H135" s="227"/>
      <c r="I135" s="231"/>
      <c r="J135" s="227"/>
      <c r="K135" s="227"/>
      <c r="L135" s="227"/>
      <c r="M135" s="227"/>
      <c r="N135" s="227"/>
      <c r="O135" s="227"/>
      <c r="P135" s="232"/>
      <c r="Q135" s="94" t="s">
        <v>130</v>
      </c>
      <c r="R135" s="81"/>
      <c r="S135" s="81"/>
      <c r="T135" s="81"/>
      <c r="U135" s="81"/>
      <c r="V135" s="81"/>
      <c r="W135" s="81"/>
      <c r="X135" s="81"/>
      <c r="Y135" s="82"/>
      <c r="Z135" s="82"/>
      <c r="AA135" s="82"/>
      <c r="AB135" s="82"/>
      <c r="AC135" s="82"/>
      <c r="AD135" s="82"/>
      <c r="AE135" s="82"/>
      <c r="AF135" s="82"/>
      <c r="AG135" s="82"/>
      <c r="AH135" s="82"/>
      <c r="AI135" s="82"/>
      <c r="AJ135" s="82"/>
      <c r="AK135" s="82"/>
      <c r="AL135" s="82"/>
      <c r="AM135" s="82"/>
      <c r="AN135" s="82"/>
    </row>
    <row r="136" spans="1:40" ht="25.95" customHeight="1" x14ac:dyDescent="0.25">
      <c r="A136" s="227"/>
      <c r="B136" s="230"/>
      <c r="C136" s="227"/>
      <c r="D136" s="227"/>
      <c r="E136" s="227"/>
      <c r="F136" s="227"/>
      <c r="G136" s="227"/>
      <c r="H136" s="227"/>
      <c r="I136" s="231"/>
      <c r="J136" s="227"/>
      <c r="K136" s="227"/>
      <c r="L136" s="227"/>
      <c r="M136" s="227"/>
      <c r="N136" s="227"/>
      <c r="O136" s="227"/>
      <c r="P136" s="232"/>
      <c r="Q136" s="94" t="s">
        <v>130</v>
      </c>
      <c r="R136" s="81"/>
      <c r="S136" s="81"/>
      <c r="T136" s="81"/>
      <c r="U136" s="81"/>
      <c r="V136" s="81"/>
      <c r="W136" s="81"/>
      <c r="X136" s="81"/>
      <c r="Y136" s="82"/>
      <c r="Z136" s="82"/>
      <c r="AA136" s="82"/>
      <c r="AB136" s="82"/>
      <c r="AC136" s="82"/>
      <c r="AD136" s="82"/>
      <c r="AE136" s="82"/>
      <c r="AF136" s="82"/>
      <c r="AG136" s="82"/>
      <c r="AH136" s="82"/>
      <c r="AI136" s="82"/>
      <c r="AJ136" s="82"/>
      <c r="AK136" s="82"/>
      <c r="AL136" s="82"/>
      <c r="AM136" s="82"/>
      <c r="AN136" s="82"/>
    </row>
    <row r="137" spans="1:40" ht="25.95" customHeight="1" x14ac:dyDescent="0.25">
      <c r="A137" s="227"/>
      <c r="B137" s="230"/>
      <c r="C137" s="227"/>
      <c r="D137" s="227"/>
      <c r="E137" s="227"/>
      <c r="F137" s="227"/>
      <c r="G137" s="227"/>
      <c r="H137" s="227"/>
      <c r="I137" s="231"/>
      <c r="J137" s="227"/>
      <c r="K137" s="227"/>
      <c r="L137" s="227"/>
      <c r="M137" s="227"/>
      <c r="N137" s="227"/>
      <c r="O137" s="227"/>
      <c r="P137" s="232"/>
      <c r="Q137" s="94" t="s">
        <v>130</v>
      </c>
      <c r="R137" s="81"/>
      <c r="S137" s="81"/>
      <c r="T137" s="81"/>
      <c r="U137" s="81"/>
      <c r="V137" s="81"/>
      <c r="W137" s="81"/>
      <c r="X137" s="81"/>
      <c r="Y137" s="82"/>
      <c r="Z137" s="82"/>
      <c r="AA137" s="82"/>
      <c r="AB137" s="82"/>
      <c r="AC137" s="82"/>
      <c r="AD137" s="82"/>
      <c r="AE137" s="82"/>
      <c r="AF137" s="82"/>
      <c r="AG137" s="82"/>
      <c r="AH137" s="82"/>
      <c r="AI137" s="82"/>
      <c r="AJ137" s="82"/>
      <c r="AK137" s="82"/>
      <c r="AL137" s="82"/>
      <c r="AM137" s="82"/>
      <c r="AN137" s="82"/>
    </row>
    <row r="138" spans="1:40" ht="25.95" customHeight="1" x14ac:dyDescent="0.25">
      <c r="A138" s="227"/>
      <c r="B138" s="230"/>
      <c r="C138" s="227"/>
      <c r="D138" s="227"/>
      <c r="E138" s="227"/>
      <c r="F138" s="227"/>
      <c r="G138" s="227"/>
      <c r="H138" s="227"/>
      <c r="I138" s="231"/>
      <c r="J138" s="227"/>
      <c r="K138" s="227"/>
      <c r="L138" s="227"/>
      <c r="M138" s="227"/>
      <c r="N138" s="227"/>
      <c r="O138" s="227"/>
      <c r="P138" s="232"/>
      <c r="Q138" s="94" t="s">
        <v>130</v>
      </c>
      <c r="R138" s="81"/>
      <c r="S138" s="81"/>
      <c r="T138" s="81"/>
      <c r="U138" s="81"/>
      <c r="V138" s="81"/>
      <c r="W138" s="81"/>
      <c r="X138" s="81"/>
      <c r="Y138" s="82"/>
      <c r="Z138" s="82"/>
      <c r="AA138" s="82"/>
      <c r="AB138" s="82"/>
      <c r="AC138" s="82"/>
      <c r="AD138" s="82"/>
      <c r="AE138" s="82"/>
      <c r="AF138" s="82"/>
      <c r="AG138" s="82"/>
      <c r="AH138" s="82"/>
      <c r="AI138" s="82"/>
      <c r="AJ138" s="82"/>
      <c r="AK138" s="82"/>
      <c r="AL138" s="82"/>
      <c r="AM138" s="82"/>
      <c r="AN138" s="82"/>
    </row>
    <row r="139" spans="1:40" ht="25.95" customHeight="1" x14ac:dyDescent="0.25">
      <c r="A139" s="227"/>
      <c r="B139" s="230"/>
      <c r="C139" s="227"/>
      <c r="D139" s="227"/>
      <c r="E139" s="227"/>
      <c r="F139" s="227"/>
      <c r="G139" s="227"/>
      <c r="H139" s="227"/>
      <c r="I139" s="231"/>
      <c r="J139" s="227"/>
      <c r="K139" s="227"/>
      <c r="L139" s="227"/>
      <c r="M139" s="227"/>
      <c r="N139" s="227"/>
      <c r="O139" s="227"/>
      <c r="P139" s="232"/>
      <c r="Q139" s="94" t="s">
        <v>130</v>
      </c>
      <c r="R139" s="81"/>
      <c r="S139" s="81"/>
      <c r="T139" s="81"/>
      <c r="U139" s="81"/>
      <c r="V139" s="81"/>
      <c r="W139" s="81"/>
      <c r="X139" s="81"/>
      <c r="Y139" s="82"/>
      <c r="Z139" s="82"/>
      <c r="AA139" s="82"/>
      <c r="AB139" s="82"/>
      <c r="AC139" s="82"/>
      <c r="AD139" s="82"/>
      <c r="AE139" s="82"/>
      <c r="AF139" s="82"/>
      <c r="AG139" s="82"/>
      <c r="AH139" s="82"/>
      <c r="AI139" s="82"/>
      <c r="AJ139" s="82"/>
      <c r="AK139" s="82"/>
      <c r="AL139" s="82"/>
      <c r="AM139" s="82"/>
      <c r="AN139" s="82"/>
    </row>
    <row r="140" spans="1:40" ht="25.95" customHeight="1" x14ac:dyDescent="0.25">
      <c r="A140" s="227"/>
      <c r="B140" s="230"/>
      <c r="C140" s="227"/>
      <c r="D140" s="227"/>
      <c r="E140" s="227"/>
      <c r="F140" s="227"/>
      <c r="G140" s="227"/>
      <c r="H140" s="227"/>
      <c r="I140" s="231"/>
      <c r="J140" s="227"/>
      <c r="K140" s="227"/>
      <c r="L140" s="227"/>
      <c r="M140" s="227"/>
      <c r="N140" s="227"/>
      <c r="O140" s="227"/>
      <c r="P140" s="232"/>
      <c r="Q140" s="94" t="s">
        <v>130</v>
      </c>
      <c r="R140" s="81"/>
      <c r="S140" s="81"/>
      <c r="T140" s="81"/>
      <c r="U140" s="81"/>
      <c r="V140" s="81"/>
      <c r="W140" s="81"/>
      <c r="X140" s="81"/>
      <c r="Y140" s="82"/>
      <c r="Z140" s="82"/>
      <c r="AA140" s="82"/>
      <c r="AB140" s="82"/>
      <c r="AC140" s="82"/>
      <c r="AD140" s="82"/>
      <c r="AE140" s="82"/>
      <c r="AF140" s="82"/>
      <c r="AG140" s="82"/>
      <c r="AH140" s="82"/>
      <c r="AI140" s="82"/>
      <c r="AJ140" s="82"/>
      <c r="AK140" s="82"/>
      <c r="AL140" s="82"/>
      <c r="AM140" s="82"/>
      <c r="AN140" s="82"/>
    </row>
    <row r="141" spans="1:40" ht="25.95" customHeight="1" x14ac:dyDescent="0.25">
      <c r="A141" s="227"/>
      <c r="B141" s="230"/>
      <c r="C141" s="227"/>
      <c r="D141" s="227"/>
      <c r="E141" s="227"/>
      <c r="F141" s="227"/>
      <c r="G141" s="227"/>
      <c r="H141" s="227"/>
      <c r="I141" s="231"/>
      <c r="J141" s="227"/>
      <c r="K141" s="227"/>
      <c r="L141" s="227"/>
      <c r="M141" s="227"/>
      <c r="N141" s="227"/>
      <c r="O141" s="227"/>
      <c r="P141" s="232"/>
      <c r="Q141" s="94" t="s">
        <v>130</v>
      </c>
      <c r="R141" s="81"/>
      <c r="S141" s="81"/>
      <c r="T141" s="81"/>
      <c r="U141" s="81"/>
      <c r="V141" s="81"/>
      <c r="W141" s="81"/>
      <c r="X141" s="81"/>
      <c r="Y141" s="82"/>
      <c r="Z141" s="82"/>
      <c r="AA141" s="82"/>
      <c r="AB141" s="82"/>
      <c r="AC141" s="82"/>
      <c r="AD141" s="82"/>
      <c r="AE141" s="82"/>
      <c r="AF141" s="82"/>
      <c r="AG141" s="82"/>
      <c r="AH141" s="82"/>
      <c r="AI141" s="82"/>
      <c r="AJ141" s="82"/>
      <c r="AK141" s="82"/>
      <c r="AL141" s="82"/>
      <c r="AM141" s="82"/>
      <c r="AN141" s="82"/>
    </row>
    <row r="142" spans="1:40" ht="25.95" customHeight="1" x14ac:dyDescent="0.25">
      <c r="A142" s="227"/>
      <c r="B142" s="230"/>
      <c r="C142" s="227"/>
      <c r="D142" s="227"/>
      <c r="E142" s="227"/>
      <c r="F142" s="227"/>
      <c r="G142" s="227"/>
      <c r="H142" s="227"/>
      <c r="I142" s="231"/>
      <c r="J142" s="227"/>
      <c r="K142" s="227"/>
      <c r="L142" s="227"/>
      <c r="M142" s="227"/>
      <c r="N142" s="227"/>
      <c r="O142" s="227"/>
      <c r="P142" s="232"/>
      <c r="Q142" s="94" t="s">
        <v>130</v>
      </c>
      <c r="R142" s="81"/>
      <c r="S142" s="81"/>
      <c r="T142" s="81"/>
      <c r="U142" s="81"/>
      <c r="V142" s="81"/>
      <c r="W142" s="81"/>
      <c r="X142" s="81"/>
      <c r="Y142" s="82"/>
      <c r="Z142" s="82"/>
      <c r="AA142" s="82"/>
      <c r="AB142" s="82"/>
      <c r="AC142" s="82"/>
      <c r="AD142" s="82"/>
      <c r="AE142" s="82"/>
      <c r="AF142" s="82"/>
      <c r="AG142" s="82"/>
      <c r="AH142" s="82"/>
      <c r="AI142" s="82"/>
      <c r="AJ142" s="82"/>
      <c r="AK142" s="82"/>
      <c r="AL142" s="82"/>
      <c r="AM142" s="82"/>
      <c r="AN142" s="82"/>
    </row>
    <row r="143" spans="1:40" ht="25.95" customHeight="1" x14ac:dyDescent="0.25">
      <c r="A143" s="227"/>
      <c r="B143" s="230"/>
      <c r="C143" s="227"/>
      <c r="D143" s="227"/>
      <c r="E143" s="227"/>
      <c r="F143" s="227"/>
      <c r="G143" s="227"/>
      <c r="H143" s="227"/>
      <c r="I143" s="231"/>
      <c r="J143" s="227"/>
      <c r="K143" s="227"/>
      <c r="L143" s="227"/>
      <c r="M143" s="227"/>
      <c r="N143" s="227"/>
      <c r="O143" s="227"/>
      <c r="P143" s="232"/>
      <c r="Q143" s="94" t="s">
        <v>130</v>
      </c>
      <c r="R143" s="81"/>
      <c r="S143" s="81"/>
      <c r="T143" s="81"/>
      <c r="U143" s="81"/>
      <c r="V143" s="81"/>
      <c r="W143" s="81"/>
      <c r="X143" s="81"/>
      <c r="Y143" s="82"/>
      <c r="Z143" s="82"/>
      <c r="AA143" s="82"/>
      <c r="AB143" s="82"/>
      <c r="AC143" s="82"/>
      <c r="AD143" s="82"/>
      <c r="AE143" s="82"/>
      <c r="AF143" s="82"/>
      <c r="AG143" s="82"/>
      <c r="AH143" s="82"/>
      <c r="AI143" s="82"/>
      <c r="AJ143" s="82"/>
      <c r="AK143" s="82"/>
      <c r="AL143" s="82"/>
      <c r="AM143" s="82"/>
      <c r="AN143" s="82"/>
    </row>
    <row r="144" spans="1:40" ht="25.95" customHeight="1" x14ac:dyDescent="0.25">
      <c r="A144" s="227"/>
      <c r="B144" s="230"/>
      <c r="C144" s="227"/>
      <c r="D144" s="227"/>
      <c r="E144" s="227"/>
      <c r="F144" s="227"/>
      <c r="G144" s="227"/>
      <c r="H144" s="227"/>
      <c r="I144" s="231"/>
      <c r="J144" s="227"/>
      <c r="K144" s="227"/>
      <c r="L144" s="227"/>
      <c r="M144" s="227"/>
      <c r="N144" s="227"/>
      <c r="O144" s="227"/>
      <c r="P144" s="232"/>
      <c r="Q144" s="94" t="s">
        <v>130</v>
      </c>
      <c r="R144" s="81"/>
      <c r="S144" s="81"/>
      <c r="T144" s="81"/>
      <c r="U144" s="81"/>
      <c r="V144" s="81"/>
      <c r="W144" s="81"/>
      <c r="X144" s="81"/>
      <c r="Y144" s="82"/>
      <c r="Z144" s="82"/>
      <c r="AA144" s="82"/>
      <c r="AB144" s="82"/>
      <c r="AC144" s="82"/>
      <c r="AD144" s="82"/>
      <c r="AE144" s="82"/>
      <c r="AF144" s="82"/>
      <c r="AG144" s="82"/>
      <c r="AH144" s="82"/>
      <c r="AI144" s="82"/>
      <c r="AJ144" s="82"/>
      <c r="AK144" s="82"/>
      <c r="AL144" s="82"/>
      <c r="AM144" s="82"/>
      <c r="AN144" s="82"/>
    </row>
    <row r="145" spans="1:66" ht="25.95" customHeight="1" x14ac:dyDescent="0.25">
      <c r="A145" s="227"/>
      <c r="B145" s="230"/>
      <c r="C145" s="227"/>
      <c r="D145" s="227"/>
      <c r="E145" s="227"/>
      <c r="F145" s="227"/>
      <c r="G145" s="227"/>
      <c r="H145" s="227"/>
      <c r="I145" s="231"/>
      <c r="J145" s="227"/>
      <c r="K145" s="227"/>
      <c r="L145" s="227"/>
      <c r="M145" s="227"/>
      <c r="N145" s="227"/>
      <c r="O145" s="227"/>
      <c r="P145" s="232"/>
      <c r="Q145" s="94" t="s">
        <v>130</v>
      </c>
      <c r="R145" s="81"/>
      <c r="S145" s="81"/>
      <c r="T145" s="81"/>
      <c r="U145" s="81"/>
      <c r="V145" s="81"/>
      <c r="W145" s="81"/>
      <c r="X145" s="81"/>
      <c r="Y145" s="82"/>
      <c r="Z145" s="82"/>
      <c r="AA145" s="82"/>
      <c r="AB145" s="82"/>
      <c r="AC145" s="82"/>
      <c r="AD145" s="82"/>
      <c r="AE145" s="82"/>
      <c r="AF145" s="82"/>
      <c r="AG145" s="82"/>
      <c r="AH145" s="82"/>
      <c r="AI145" s="82"/>
      <c r="AJ145" s="82"/>
      <c r="AK145" s="82"/>
      <c r="AL145" s="82"/>
      <c r="AM145" s="82"/>
      <c r="AN145" s="82"/>
    </row>
    <row r="146" spans="1:66" ht="25.95" customHeight="1" x14ac:dyDescent="0.25">
      <c r="A146" s="227"/>
      <c r="B146" s="230"/>
      <c r="C146" s="227"/>
      <c r="D146" s="227"/>
      <c r="E146" s="227"/>
      <c r="F146" s="227"/>
      <c r="G146" s="227"/>
      <c r="H146" s="227"/>
      <c r="I146" s="231"/>
      <c r="J146" s="227"/>
      <c r="K146" s="227"/>
      <c r="L146" s="227"/>
      <c r="M146" s="227"/>
      <c r="N146" s="227"/>
      <c r="O146" s="227"/>
      <c r="P146" s="232"/>
      <c r="Q146" s="94" t="s">
        <v>130</v>
      </c>
      <c r="R146" s="81"/>
      <c r="S146" s="81"/>
      <c r="T146" s="81"/>
      <c r="U146" s="81"/>
      <c r="V146" s="81"/>
      <c r="W146" s="81"/>
      <c r="X146" s="81"/>
      <c r="Y146" s="82"/>
      <c r="Z146" s="82"/>
      <c r="AA146" s="82"/>
      <c r="AB146" s="82"/>
      <c r="AC146" s="82"/>
      <c r="AD146" s="82"/>
      <c r="AE146" s="82"/>
      <c r="AF146" s="82"/>
      <c r="AG146" s="82"/>
      <c r="AH146" s="82"/>
      <c r="AI146" s="82"/>
      <c r="AJ146" s="82"/>
      <c r="AK146" s="82"/>
      <c r="AL146" s="82"/>
      <c r="AM146" s="82"/>
      <c r="AN146" s="82"/>
    </row>
    <row r="147" spans="1:66" ht="25.95" customHeight="1" x14ac:dyDescent="0.25">
      <c r="A147" s="227"/>
      <c r="B147" s="230" t="s">
        <v>32</v>
      </c>
      <c r="C147" s="227"/>
      <c r="D147" s="227"/>
      <c r="E147" s="227"/>
      <c r="F147" s="227"/>
      <c r="G147" s="227"/>
      <c r="H147" s="227"/>
      <c r="I147" s="231"/>
      <c r="J147" s="227"/>
      <c r="K147" s="227"/>
      <c r="L147" s="227"/>
      <c r="M147" s="227"/>
      <c r="N147" s="227"/>
      <c r="O147" s="227"/>
      <c r="P147" s="232"/>
      <c r="Q147" s="94" t="s">
        <v>130</v>
      </c>
      <c r="R147" s="81"/>
      <c r="S147" s="81"/>
      <c r="T147" s="81"/>
      <c r="U147" s="81"/>
      <c r="V147" s="81"/>
      <c r="W147" s="81"/>
      <c r="X147" s="81"/>
      <c r="Y147" s="82"/>
      <c r="Z147" s="82"/>
      <c r="AA147" s="82"/>
      <c r="AB147" s="82"/>
      <c r="AC147" s="82"/>
      <c r="AD147" s="82"/>
      <c r="AE147" s="82"/>
      <c r="AF147" s="82"/>
      <c r="AG147" s="82"/>
      <c r="AH147" s="82"/>
      <c r="AI147" s="82"/>
      <c r="AJ147" s="82"/>
      <c r="AK147" s="82"/>
      <c r="AL147" s="82"/>
      <c r="AM147" s="82"/>
      <c r="AN147" s="82"/>
    </row>
    <row r="148" spans="1:66" ht="15" x14ac:dyDescent="0.25">
      <c r="A148" s="227"/>
      <c r="B148" s="230" t="s">
        <v>32</v>
      </c>
      <c r="C148" s="227"/>
      <c r="D148" s="227"/>
      <c r="E148" s="227"/>
      <c r="F148" s="227"/>
      <c r="G148" s="227"/>
      <c r="H148" s="227"/>
      <c r="I148" s="231"/>
      <c r="J148" s="227"/>
      <c r="K148" s="227"/>
      <c r="L148" s="227"/>
      <c r="M148" s="227"/>
      <c r="N148" s="227"/>
      <c r="O148" s="227"/>
      <c r="P148" s="232"/>
      <c r="Q148" s="94" t="s">
        <v>130</v>
      </c>
      <c r="R148" s="81"/>
      <c r="S148" s="81"/>
      <c r="T148" s="81"/>
      <c r="U148" s="81"/>
      <c r="V148" s="81"/>
      <c r="W148" s="81"/>
      <c r="X148" s="81"/>
      <c r="Y148" s="82"/>
      <c r="Z148" s="82"/>
      <c r="AA148" s="82"/>
      <c r="AB148" s="82"/>
      <c r="AC148" s="82"/>
      <c r="AD148" s="82"/>
      <c r="AE148" s="82"/>
      <c r="AF148" s="82"/>
      <c r="AG148" s="82"/>
      <c r="AH148" s="82"/>
      <c r="AI148" s="82"/>
      <c r="AJ148" s="82"/>
      <c r="AK148" s="82"/>
      <c r="AL148" s="82"/>
      <c r="AM148" s="82"/>
      <c r="AN148" s="82"/>
    </row>
    <row r="149" spans="1:66" ht="22.5" customHeight="1" x14ac:dyDescent="0.25">
      <c r="A149" s="227"/>
      <c r="B149" s="230" t="s">
        <v>32</v>
      </c>
      <c r="C149" s="227"/>
      <c r="D149" s="227"/>
      <c r="E149" s="227"/>
      <c r="F149" s="227"/>
      <c r="G149" s="227"/>
      <c r="H149" s="227"/>
      <c r="I149" s="231"/>
      <c r="J149" s="227"/>
      <c r="K149" s="227"/>
      <c r="L149" s="227"/>
      <c r="M149" s="227"/>
      <c r="N149" s="227"/>
      <c r="O149" s="227"/>
      <c r="P149" s="232"/>
      <c r="Q149" s="94" t="s">
        <v>130</v>
      </c>
      <c r="R149" s="81"/>
      <c r="S149" s="81"/>
      <c r="T149" s="81"/>
      <c r="U149" s="81"/>
      <c r="V149" s="81"/>
      <c r="W149" s="81"/>
      <c r="X149" s="81"/>
      <c r="Y149" s="82"/>
      <c r="Z149" s="82"/>
      <c r="AA149" s="82"/>
      <c r="AB149" s="82"/>
      <c r="AC149" s="82"/>
      <c r="AD149" s="82"/>
      <c r="AE149" s="82"/>
      <c r="AF149" s="82"/>
      <c r="AG149" s="82"/>
      <c r="AH149" s="82"/>
      <c r="AI149" s="82"/>
      <c r="AJ149" s="82"/>
      <c r="AK149" s="82"/>
      <c r="AL149" s="82"/>
      <c r="AM149" s="82"/>
      <c r="AN149" s="82"/>
    </row>
    <row r="150" spans="1:66" ht="30" customHeight="1" x14ac:dyDescent="0.25">
      <c r="A150" s="227"/>
      <c r="B150" s="230" t="s">
        <v>32</v>
      </c>
      <c r="C150" s="317"/>
      <c r="D150" s="317"/>
      <c r="E150" s="318"/>
      <c r="F150" s="318" t="s">
        <v>195</v>
      </c>
      <c r="G150" s="318"/>
      <c r="H150" s="318"/>
      <c r="I150" s="318"/>
      <c r="J150" s="318"/>
      <c r="K150" s="318"/>
      <c r="L150" s="318"/>
      <c r="M150" s="318"/>
      <c r="N150" s="318"/>
      <c r="O150" s="318"/>
      <c r="P150" s="232"/>
      <c r="Q150" s="94" t="s">
        <v>130</v>
      </c>
      <c r="R150" s="81"/>
      <c r="S150" s="81"/>
      <c r="T150" s="81"/>
      <c r="U150" s="81"/>
      <c r="V150" s="81"/>
      <c r="W150" s="81"/>
      <c r="X150" s="81"/>
      <c r="Y150" s="82"/>
      <c r="Z150" s="82"/>
      <c r="AA150" s="82"/>
      <c r="AB150" s="82"/>
      <c r="AC150" s="82"/>
      <c r="AD150" s="82"/>
      <c r="AE150" s="82"/>
      <c r="AF150" s="82"/>
      <c r="AG150" s="82"/>
      <c r="AH150" s="82"/>
      <c r="AI150" s="82"/>
      <c r="AJ150" s="82"/>
      <c r="AK150" s="82"/>
      <c r="AL150" s="82"/>
      <c r="AM150" s="82"/>
      <c r="AN150" s="82"/>
    </row>
    <row r="151" spans="1:66" ht="9.75" customHeight="1" x14ac:dyDescent="0.25">
      <c r="A151" s="227"/>
      <c r="B151" s="230"/>
      <c r="C151" s="227"/>
      <c r="D151" s="227"/>
      <c r="E151" s="227"/>
      <c r="F151" s="227"/>
      <c r="G151" s="227"/>
      <c r="H151" s="227"/>
      <c r="I151" s="231"/>
      <c r="J151" s="227"/>
      <c r="K151" s="227"/>
      <c r="L151" s="227"/>
      <c r="M151" s="227"/>
      <c r="N151" s="227"/>
      <c r="O151" s="227"/>
      <c r="P151" s="232"/>
      <c r="Q151" s="94" t="s">
        <v>130</v>
      </c>
      <c r="R151" s="81"/>
      <c r="S151" s="81"/>
      <c r="T151" s="81"/>
      <c r="U151" s="81"/>
      <c r="V151" s="81"/>
      <c r="W151" s="81"/>
      <c r="X151" s="81"/>
      <c r="Y151" s="82"/>
      <c r="Z151" s="82"/>
      <c r="AA151" s="82"/>
      <c r="AB151" s="82"/>
      <c r="AC151" s="82"/>
      <c r="AD151" s="82"/>
      <c r="AE151" s="82"/>
      <c r="AF151" s="82"/>
      <c r="AG151" s="82"/>
      <c r="AH151" s="82"/>
      <c r="AI151" s="82"/>
      <c r="AJ151" s="82"/>
      <c r="AK151" s="82"/>
      <c r="AL151" s="82"/>
      <c r="AM151" s="82"/>
      <c r="AN151" s="82"/>
    </row>
    <row r="152" spans="1:66" s="90" customFormat="1" ht="28.5" customHeight="1" x14ac:dyDescent="0.25">
      <c r="A152" s="231"/>
      <c r="B152" s="230" t="s">
        <v>32</v>
      </c>
      <c r="C152" s="231"/>
      <c r="D152" s="375" t="s">
        <v>15</v>
      </c>
      <c r="E152" s="375"/>
      <c r="F152" s="375"/>
      <c r="G152" s="375"/>
      <c r="H152" s="375"/>
      <c r="I152" s="367"/>
      <c r="J152" s="222">
        <f>J94</f>
        <v>2024</v>
      </c>
      <c r="K152" s="222">
        <f>K94</f>
        <v>2025</v>
      </c>
      <c r="L152" s="222">
        <f>L94</f>
        <v>2026</v>
      </c>
      <c r="M152" s="222">
        <f>M94</f>
        <v>2027</v>
      </c>
      <c r="N152" s="222">
        <f>N94</f>
        <v>2028</v>
      </c>
      <c r="O152" s="227"/>
      <c r="P152" s="258"/>
      <c r="Q152" s="94" t="s">
        <v>130</v>
      </c>
      <c r="R152" s="91"/>
      <c r="S152" s="91"/>
      <c r="T152" s="81"/>
      <c r="U152" s="81"/>
      <c r="V152" s="91"/>
      <c r="W152" s="91"/>
      <c r="X152" s="91"/>
      <c r="Y152" s="91"/>
      <c r="Z152" s="91"/>
      <c r="AA152" s="91"/>
      <c r="AB152" s="91"/>
      <c r="AC152" s="91"/>
      <c r="AD152" s="91"/>
      <c r="AE152" s="91"/>
      <c r="AF152" s="91"/>
      <c r="AG152" s="91"/>
      <c r="AH152" s="91"/>
      <c r="AI152" s="91"/>
      <c r="AJ152" s="91"/>
      <c r="AK152" s="91"/>
      <c r="AL152" s="91"/>
      <c r="AM152" s="91"/>
      <c r="AN152" s="91"/>
      <c r="AO152" s="92"/>
      <c r="AP152" s="92"/>
      <c r="AQ152" s="92"/>
      <c r="AR152" s="92"/>
      <c r="AS152" s="92"/>
      <c r="AT152" s="92"/>
      <c r="AU152" s="92"/>
      <c r="AV152" s="92"/>
      <c r="AW152" s="92"/>
      <c r="AX152" s="92"/>
      <c r="AY152" s="92"/>
      <c r="AZ152" s="92"/>
      <c r="BA152" s="92"/>
      <c r="BB152" s="92"/>
      <c r="BC152" s="92"/>
      <c r="BD152" s="92"/>
      <c r="BE152" s="92"/>
      <c r="BF152" s="92"/>
      <c r="BG152" s="92"/>
      <c r="BH152" s="92"/>
      <c r="BI152" s="92"/>
      <c r="BJ152" s="92"/>
      <c r="BK152" s="92"/>
      <c r="BL152" s="92"/>
      <c r="BM152" s="92"/>
      <c r="BN152" s="92"/>
    </row>
    <row r="153" spans="1:66" ht="15" customHeight="1" x14ac:dyDescent="0.25">
      <c r="A153" s="227"/>
      <c r="B153" s="230" t="s">
        <v>32</v>
      </c>
      <c r="C153" s="227"/>
      <c r="D153" s="376" t="s">
        <v>72</v>
      </c>
      <c r="E153" s="376"/>
      <c r="F153" s="376"/>
      <c r="G153" s="376"/>
      <c r="H153" s="376"/>
      <c r="I153" s="370"/>
      <c r="J153" s="259">
        <f>H280</f>
        <v>4317662</v>
      </c>
      <c r="K153" s="259">
        <f>I280</f>
        <v>6499961</v>
      </c>
      <c r="L153" s="259">
        <f>J280</f>
        <v>7999952</v>
      </c>
      <c r="M153" s="259">
        <f>K280</f>
        <v>8999946</v>
      </c>
      <c r="N153" s="259">
        <f>L280</f>
        <v>9999940</v>
      </c>
      <c r="O153" s="227"/>
      <c r="P153" s="232"/>
      <c r="Q153" s="94" t="str">
        <f>IF(SUM(I153:O153)=0,"-","Yes")</f>
        <v>Yes</v>
      </c>
      <c r="R153" s="81"/>
      <c r="S153" s="81"/>
      <c r="T153" s="81"/>
      <c r="U153" s="81"/>
      <c r="V153" s="81"/>
      <c r="W153" s="81"/>
      <c r="X153" s="81"/>
      <c r="Y153" s="82"/>
      <c r="Z153" s="82"/>
      <c r="AA153" s="82"/>
      <c r="AB153" s="82"/>
      <c r="AC153" s="82"/>
      <c r="AD153" s="82"/>
      <c r="AE153" s="82"/>
      <c r="AF153" s="82"/>
      <c r="AG153" s="82"/>
      <c r="AH153" s="82"/>
      <c r="AI153" s="82"/>
      <c r="AJ153" s="82"/>
      <c r="AK153" s="82"/>
      <c r="AL153" s="82"/>
      <c r="AM153" s="82"/>
      <c r="AN153" s="82"/>
    </row>
    <row r="154" spans="1:66" ht="15" customHeight="1" x14ac:dyDescent="0.25">
      <c r="A154" s="227"/>
      <c r="B154" s="230" t="s">
        <v>32</v>
      </c>
      <c r="C154" s="227"/>
      <c r="D154" s="377" t="s">
        <v>16</v>
      </c>
      <c r="E154" s="377"/>
      <c r="F154" s="377"/>
      <c r="G154" s="377"/>
      <c r="H154" s="377"/>
      <c r="I154" s="371"/>
      <c r="J154" s="260"/>
      <c r="K154" s="260">
        <f>(K153-J153)/J153</f>
        <v>0.5054353490384379</v>
      </c>
      <c r="L154" s="260">
        <f>(L153-K153)/K153</f>
        <v>0.23076923076923078</v>
      </c>
      <c r="M154" s="260">
        <f>(M153-L153)/L153</f>
        <v>0.125</v>
      </c>
      <c r="N154" s="260">
        <f>(N153-M153)/M153</f>
        <v>0.1111111111111111</v>
      </c>
      <c r="O154" s="227"/>
      <c r="P154" s="232"/>
      <c r="Q154" s="94" t="str">
        <f>IF(SUM(I154:O154)=0,"-","Yes")</f>
        <v>Yes</v>
      </c>
      <c r="R154" s="81"/>
      <c r="S154" s="81"/>
      <c r="T154" s="81"/>
      <c r="U154" s="81"/>
      <c r="V154" s="81"/>
      <c r="W154" s="81"/>
      <c r="X154" s="81"/>
      <c r="Y154" s="82"/>
      <c r="Z154" s="82"/>
      <c r="AA154" s="82"/>
      <c r="AB154" s="82"/>
      <c r="AC154" s="82"/>
      <c r="AD154" s="82"/>
      <c r="AE154" s="82"/>
      <c r="AF154" s="82"/>
      <c r="AG154" s="82"/>
      <c r="AH154" s="82"/>
      <c r="AI154" s="82"/>
      <c r="AJ154" s="82"/>
      <c r="AK154" s="82"/>
      <c r="AL154" s="82"/>
      <c r="AM154" s="82"/>
      <c r="AN154" s="82"/>
    </row>
    <row r="155" spans="1:66" ht="15" customHeight="1" x14ac:dyDescent="0.25">
      <c r="A155" s="227"/>
      <c r="B155" s="230" t="s">
        <v>32</v>
      </c>
      <c r="C155" s="227"/>
      <c r="D155" s="378" t="s">
        <v>73</v>
      </c>
      <c r="E155" s="378"/>
      <c r="F155" s="378"/>
      <c r="G155" s="378"/>
      <c r="H155" s="378"/>
      <c r="I155" s="369"/>
      <c r="J155" s="259">
        <f>-H294</f>
        <v>-1827441.4000000001</v>
      </c>
      <c r="K155" s="259">
        <f>-I294</f>
        <v>-2751324.55</v>
      </c>
      <c r="L155" s="259">
        <f>-J294</f>
        <v>-3386245.6</v>
      </c>
      <c r="M155" s="259">
        <f>-K294</f>
        <v>-3809526.3</v>
      </c>
      <c r="N155" s="259">
        <f>-L294</f>
        <v>-4232807</v>
      </c>
      <c r="O155" s="227"/>
      <c r="P155" s="232"/>
      <c r="Q155" s="94" t="str">
        <f>IF(SUM(I155:O155)=0,"-","Yes")</f>
        <v>Yes</v>
      </c>
      <c r="R155" s="81"/>
      <c r="S155" s="81"/>
      <c r="T155" s="81"/>
      <c r="U155" s="81"/>
      <c r="V155" s="81"/>
      <c r="W155" s="81"/>
      <c r="X155" s="81"/>
      <c r="Y155" s="82"/>
      <c r="Z155" s="82"/>
      <c r="AA155" s="82"/>
      <c r="AB155" s="82"/>
      <c r="AC155" s="82"/>
      <c r="AD155" s="82"/>
      <c r="AE155" s="82"/>
      <c r="AF155" s="82"/>
      <c r="AG155" s="82"/>
      <c r="AH155" s="82"/>
      <c r="AI155" s="82"/>
      <c r="AJ155" s="82"/>
      <c r="AK155" s="82"/>
      <c r="AL155" s="82"/>
      <c r="AM155" s="82"/>
      <c r="AN155" s="82"/>
    </row>
    <row r="156" spans="1:66" ht="15" customHeight="1" x14ac:dyDescent="0.25">
      <c r="A156" s="227"/>
      <c r="B156" s="230" t="s">
        <v>32</v>
      </c>
      <c r="C156" s="227"/>
      <c r="D156" s="379" t="s">
        <v>12</v>
      </c>
      <c r="E156" s="379"/>
      <c r="F156" s="379"/>
      <c r="G156" s="379"/>
      <c r="H156" s="379"/>
      <c r="I156" s="374"/>
      <c r="J156" s="261">
        <f>J153+J155</f>
        <v>2490220.5999999996</v>
      </c>
      <c r="K156" s="261">
        <f>K153+K155</f>
        <v>3748636.45</v>
      </c>
      <c r="L156" s="261">
        <f>L153+L155</f>
        <v>4613706.4000000004</v>
      </c>
      <c r="M156" s="261">
        <f>M153+M155</f>
        <v>5190419.7</v>
      </c>
      <c r="N156" s="261">
        <f>N153+N155</f>
        <v>5767133</v>
      </c>
      <c r="O156" s="227"/>
      <c r="P156" s="232"/>
      <c r="Q156" s="94" t="str">
        <f>IF(SUM(I156:O156)=0,"-","Yes")</f>
        <v>Yes</v>
      </c>
      <c r="R156" s="81"/>
      <c r="S156" s="81"/>
      <c r="T156" s="81"/>
      <c r="U156" s="81"/>
      <c r="V156" s="81"/>
      <c r="W156" s="81"/>
      <c r="X156" s="81"/>
      <c r="Y156" s="82"/>
      <c r="Z156" s="82"/>
      <c r="AA156" s="82"/>
      <c r="AB156" s="82"/>
      <c r="AC156" s="82"/>
      <c r="AD156" s="82"/>
      <c r="AE156" s="82"/>
      <c r="AF156" s="82"/>
      <c r="AG156" s="82"/>
      <c r="AH156" s="82"/>
      <c r="AI156" s="82"/>
      <c r="AJ156" s="82"/>
      <c r="AK156" s="82"/>
      <c r="AL156" s="82"/>
      <c r="AM156" s="82"/>
      <c r="AN156" s="82"/>
    </row>
    <row r="157" spans="1:66" ht="15" customHeight="1" x14ac:dyDescent="0.25">
      <c r="A157" s="227"/>
      <c r="B157" s="230" t="s">
        <v>32</v>
      </c>
      <c r="C157" s="227"/>
      <c r="D157" s="377" t="s">
        <v>41</v>
      </c>
      <c r="E157" s="377"/>
      <c r="F157" s="377"/>
      <c r="G157" s="377"/>
      <c r="H157" s="377"/>
      <c r="I157" s="371"/>
      <c r="J157" s="260">
        <f>J156/J$153</f>
        <v>0.57675209407313488</v>
      </c>
      <c r="K157" s="260">
        <f>K156/K$153</f>
        <v>0.57671676030056185</v>
      </c>
      <c r="L157" s="260">
        <f>L156/L$153</f>
        <v>0.57671676030056185</v>
      </c>
      <c r="M157" s="260">
        <f>M156/M$153</f>
        <v>0.57671676030056185</v>
      </c>
      <c r="N157" s="260">
        <f>N156/N$153</f>
        <v>0.57671676030056185</v>
      </c>
      <c r="O157" s="227"/>
      <c r="P157" s="232"/>
      <c r="Q157" s="94" t="str">
        <f>IF(SUM(I157:O157)=0,"-","Yes")</f>
        <v>Yes</v>
      </c>
      <c r="R157" s="81"/>
      <c r="S157" s="81"/>
      <c r="T157" s="81"/>
      <c r="U157" s="81"/>
      <c r="V157" s="81"/>
      <c r="W157" s="81"/>
      <c r="X157" s="81"/>
      <c r="Y157" s="82"/>
      <c r="Z157" s="82"/>
      <c r="AA157" s="82"/>
      <c r="AB157" s="82"/>
      <c r="AC157" s="82"/>
      <c r="AD157" s="82"/>
      <c r="AE157" s="82"/>
      <c r="AF157" s="82"/>
      <c r="AG157" s="82"/>
      <c r="AH157" s="82"/>
      <c r="AI157" s="82"/>
      <c r="AJ157" s="82"/>
      <c r="AK157" s="82"/>
      <c r="AL157" s="82"/>
      <c r="AM157" s="82"/>
      <c r="AN157" s="82"/>
    </row>
    <row r="158" spans="1:66" ht="9" customHeight="1" x14ac:dyDescent="0.25">
      <c r="A158" s="227"/>
      <c r="B158" s="230" t="s">
        <v>32</v>
      </c>
      <c r="C158" s="227"/>
      <c r="D158" s="380"/>
      <c r="E158" s="227"/>
      <c r="F158" s="227"/>
      <c r="G158" s="227"/>
      <c r="H158" s="227"/>
      <c r="I158" s="231"/>
      <c r="J158" s="262"/>
      <c r="K158" s="260"/>
      <c r="L158" s="260"/>
      <c r="M158" s="260"/>
      <c r="N158" s="260"/>
      <c r="O158" s="227"/>
      <c r="P158" s="232"/>
      <c r="Q158" s="94" t="s">
        <v>130</v>
      </c>
      <c r="R158" s="81"/>
      <c r="S158" s="81"/>
      <c r="T158" s="81"/>
      <c r="U158" s="81"/>
      <c r="V158" s="81"/>
      <c r="W158" s="81"/>
      <c r="X158" s="81"/>
      <c r="Y158" s="82"/>
      <c r="Z158" s="82"/>
      <c r="AA158" s="82"/>
      <c r="AB158" s="82"/>
      <c r="AC158" s="82"/>
      <c r="AD158" s="82"/>
      <c r="AE158" s="82"/>
      <c r="AF158" s="82"/>
      <c r="AG158" s="82"/>
      <c r="AH158" s="82"/>
      <c r="AI158" s="82"/>
      <c r="AJ158" s="82"/>
      <c r="AK158" s="82"/>
      <c r="AL158" s="82"/>
      <c r="AM158" s="82"/>
      <c r="AN158" s="82"/>
    </row>
    <row r="159" spans="1:66" ht="15" customHeight="1" x14ac:dyDescent="0.25">
      <c r="A159" s="227"/>
      <c r="B159" s="230" t="s">
        <v>32</v>
      </c>
      <c r="C159" s="227"/>
      <c r="D159" s="381" t="s">
        <v>39</v>
      </c>
      <c r="E159" s="381"/>
      <c r="F159" s="381"/>
      <c r="G159" s="381"/>
      <c r="H159" s="381"/>
      <c r="I159" s="373"/>
      <c r="J159" s="263"/>
      <c r="K159" s="263"/>
      <c r="L159" s="263"/>
      <c r="M159" s="263"/>
      <c r="N159" s="263"/>
      <c r="O159" s="227"/>
      <c r="P159" s="232"/>
      <c r="Q159" s="94" t="s">
        <v>130</v>
      </c>
      <c r="R159" s="81"/>
      <c r="S159" s="81"/>
      <c r="T159" s="81"/>
      <c r="U159" s="81"/>
      <c r="V159" s="81">
        <f>J152</f>
        <v>2024</v>
      </c>
      <c r="W159" s="81">
        <f>K152</f>
        <v>2025</v>
      </c>
      <c r="X159" s="81">
        <f>L152</f>
        <v>2026</v>
      </c>
      <c r="Y159" s="81">
        <f>M152</f>
        <v>2027</v>
      </c>
      <c r="Z159" s="81">
        <f>N152</f>
        <v>2028</v>
      </c>
      <c r="AA159" s="82"/>
      <c r="AB159" s="82"/>
      <c r="AC159" s="82"/>
      <c r="AD159" s="82"/>
      <c r="AE159" s="82"/>
      <c r="AF159" s="82"/>
      <c r="AG159" s="82"/>
      <c r="AH159" s="82"/>
      <c r="AI159" s="82"/>
      <c r="AJ159" s="82"/>
      <c r="AK159" s="82"/>
      <c r="AL159" s="82"/>
      <c r="AM159" s="82"/>
      <c r="AN159" s="82"/>
    </row>
    <row r="160" spans="1:66" ht="15" customHeight="1" x14ac:dyDescent="0.25">
      <c r="A160" s="227"/>
      <c r="B160" s="230" t="s">
        <v>32</v>
      </c>
      <c r="C160" s="227"/>
      <c r="D160" s="378" t="str">
        <f>'ادخال  التوقعات المالية'!B80</f>
        <v>الرواتب والأجور</v>
      </c>
      <c r="E160" s="378"/>
      <c r="F160" s="378"/>
      <c r="G160" s="378"/>
      <c r="H160" s="378"/>
      <c r="I160" s="369"/>
      <c r="J160" s="259">
        <f>-'ادخال  التوقعات المالية'!D80*$U$1</f>
        <v>-1125000</v>
      </c>
      <c r="K160" s="259">
        <f>-'ادخال  التوقعات المالية'!E80*$U$1</f>
        <v>-1200000</v>
      </c>
      <c r="L160" s="259">
        <f>-'ادخال  التوقعات المالية'!F80*$U$1</f>
        <v>-1275000</v>
      </c>
      <c r="M160" s="259">
        <f>-'ادخال  التوقعات المالية'!G80*$U$1</f>
        <v>-1425000</v>
      </c>
      <c r="N160" s="259">
        <f>-'ادخال  التوقعات المالية'!H80*$U$1</f>
        <v>-1500000</v>
      </c>
      <c r="O160" s="227"/>
      <c r="P160" s="232"/>
      <c r="Q160" s="94" t="str">
        <f t="shared" ref="Q160:Q177" si="1">IF(SUM(I160:O160)=0,"-","Yes")</f>
        <v>Yes</v>
      </c>
      <c r="R160" s="81"/>
      <c r="S160" s="81"/>
      <c r="T160" s="81"/>
      <c r="U160" s="81" t="str">
        <f t="shared" ref="U160:U172" si="2">D160</f>
        <v>الرواتب والأجور</v>
      </c>
      <c r="V160" s="83">
        <f t="shared" ref="V160:V171" si="3">-J160</f>
        <v>1125000</v>
      </c>
      <c r="W160" s="83">
        <f t="shared" ref="W160:W171" si="4">-K160</f>
        <v>1200000</v>
      </c>
      <c r="X160" s="83">
        <f t="shared" ref="X160:X172" si="5">-L160</f>
        <v>1275000</v>
      </c>
      <c r="Y160" s="83">
        <f t="shared" ref="Y160:Y172" si="6">-M160</f>
        <v>1425000</v>
      </c>
      <c r="Z160" s="83">
        <f t="shared" ref="Z160:Z172" si="7">-N160</f>
        <v>1500000</v>
      </c>
      <c r="AA160" s="82"/>
      <c r="AB160" s="82"/>
      <c r="AC160" s="82"/>
      <c r="AD160" s="82"/>
      <c r="AE160" s="82"/>
      <c r="AF160" s="82"/>
      <c r="AG160" s="82"/>
      <c r="AH160" s="82"/>
      <c r="AI160" s="82"/>
      <c r="AJ160" s="82"/>
      <c r="AK160" s="82"/>
      <c r="AL160" s="82"/>
      <c r="AM160" s="82"/>
      <c r="AN160" s="82"/>
    </row>
    <row r="161" spans="1:40" ht="15" customHeight="1" x14ac:dyDescent="0.25">
      <c r="A161" s="227"/>
      <c r="B161" s="230"/>
      <c r="C161" s="227"/>
      <c r="D161" s="378" t="str">
        <f>'ادخال  التوقعات المالية'!B82</f>
        <v>عمولات و حوافز</v>
      </c>
      <c r="E161" s="378"/>
      <c r="F161" s="378"/>
      <c r="G161" s="378"/>
      <c r="H161" s="378"/>
      <c r="I161" s="369"/>
      <c r="J161" s="259">
        <f>-'ادخال  التوقعات المالية'!D82*$U$1</f>
        <v>-250000</v>
      </c>
      <c r="K161" s="259">
        <f>-'ادخال  التوقعات المالية'!E82*$U$1</f>
        <v>-325000.00000000017</v>
      </c>
      <c r="L161" s="259">
        <f>-'ادخال  التوقعات المالية'!F82*$U$1</f>
        <v>-400000</v>
      </c>
      <c r="M161" s="259">
        <f>-'ادخال  التوقعات المالية'!G82*$U$1</f>
        <v>-449999.99999999965</v>
      </c>
      <c r="N161" s="259">
        <f>-'ادخال  التوقعات المالية'!H82*$U$1</f>
        <v>-500000</v>
      </c>
      <c r="O161" s="227"/>
      <c r="P161" s="232"/>
      <c r="Q161" s="94" t="str">
        <f t="shared" si="1"/>
        <v>Yes</v>
      </c>
      <c r="R161" s="81"/>
      <c r="S161" s="81"/>
      <c r="T161" s="81"/>
      <c r="U161" s="81" t="str">
        <f t="shared" si="2"/>
        <v>عمولات و حوافز</v>
      </c>
      <c r="V161" s="83">
        <f t="shared" si="3"/>
        <v>250000</v>
      </c>
      <c r="W161" s="83">
        <f t="shared" si="4"/>
        <v>325000.00000000017</v>
      </c>
      <c r="X161" s="83">
        <f t="shared" si="5"/>
        <v>400000</v>
      </c>
      <c r="Y161" s="83">
        <f t="shared" si="6"/>
        <v>449999.99999999965</v>
      </c>
      <c r="Z161" s="83">
        <f t="shared" si="7"/>
        <v>500000</v>
      </c>
      <c r="AA161" s="82"/>
      <c r="AB161" s="82"/>
      <c r="AC161" s="82"/>
      <c r="AD161" s="82"/>
      <c r="AE161" s="82"/>
      <c r="AF161" s="82"/>
      <c r="AG161" s="82"/>
      <c r="AH161" s="82"/>
      <c r="AI161" s="82"/>
      <c r="AJ161" s="82"/>
      <c r="AK161" s="82"/>
      <c r="AL161" s="82"/>
      <c r="AM161" s="82"/>
      <c r="AN161" s="82"/>
    </row>
    <row r="162" spans="1:40" ht="15" customHeight="1" x14ac:dyDescent="0.25">
      <c r="A162" s="227"/>
      <c r="B162" s="230"/>
      <c r="C162" s="227"/>
      <c r="D162" s="378" t="str">
        <f>'ادخال  التوقعات المالية'!B84</f>
        <v xml:space="preserve">تسويق </v>
      </c>
      <c r="E162" s="378"/>
      <c r="F162" s="378"/>
      <c r="G162" s="378"/>
      <c r="H162" s="378"/>
      <c r="I162" s="369"/>
      <c r="J162" s="259">
        <f>-'ادخال  التوقعات المالية'!D84*$U$1</f>
        <v>-300000</v>
      </c>
      <c r="K162" s="259">
        <f>-'ادخال  التوقعات المالية'!E84*$U$1</f>
        <v>-390000.00000000023</v>
      </c>
      <c r="L162" s="259">
        <f>-'ادخال  التوقعات المالية'!F84*$U$1</f>
        <v>-480000</v>
      </c>
      <c r="M162" s="259">
        <f>-'ادخال  التوقعات المالية'!G84*$U$1</f>
        <v>-540000</v>
      </c>
      <c r="N162" s="259">
        <f>-'ادخال  التوقعات المالية'!H84*$U$1</f>
        <v>-600000</v>
      </c>
      <c r="O162" s="227"/>
      <c r="P162" s="232"/>
      <c r="Q162" s="94" t="str">
        <f t="shared" si="1"/>
        <v>Yes</v>
      </c>
      <c r="R162" s="81"/>
      <c r="S162" s="81"/>
      <c r="T162" s="81"/>
      <c r="U162" s="81" t="str">
        <f t="shared" si="2"/>
        <v xml:space="preserve">تسويق </v>
      </c>
      <c r="V162" s="83">
        <f t="shared" si="3"/>
        <v>300000</v>
      </c>
      <c r="W162" s="83">
        <f t="shared" si="4"/>
        <v>390000.00000000023</v>
      </c>
      <c r="X162" s="83">
        <f t="shared" si="5"/>
        <v>480000</v>
      </c>
      <c r="Y162" s="83">
        <f t="shared" si="6"/>
        <v>540000</v>
      </c>
      <c r="Z162" s="83">
        <f t="shared" si="7"/>
        <v>600000</v>
      </c>
      <c r="AA162" s="82"/>
      <c r="AB162" s="82"/>
      <c r="AC162" s="82"/>
      <c r="AD162" s="82"/>
      <c r="AE162" s="82"/>
      <c r="AF162" s="82"/>
      <c r="AG162" s="82"/>
      <c r="AH162" s="82"/>
      <c r="AI162" s="82"/>
      <c r="AJ162" s="82"/>
      <c r="AK162" s="82"/>
      <c r="AL162" s="82"/>
      <c r="AM162" s="82"/>
      <c r="AN162" s="82"/>
    </row>
    <row r="163" spans="1:40" ht="15" customHeight="1" x14ac:dyDescent="0.25">
      <c r="A163" s="227"/>
      <c r="B163" s="230"/>
      <c r="C163" s="227"/>
      <c r="D163" s="378" t="str">
        <f>'ادخال  التوقعات المالية'!B86</f>
        <v>مصروفات حكومية</v>
      </c>
      <c r="E163" s="378"/>
      <c r="F163" s="378"/>
      <c r="G163" s="378"/>
      <c r="H163" s="378"/>
      <c r="I163" s="369"/>
      <c r="J163" s="259">
        <f>-'ادخال  التوقعات المالية'!D86*$U$1</f>
        <v>-50000</v>
      </c>
      <c r="K163" s="259">
        <f>-'ادخال  التوقعات المالية'!E86*$U$1</f>
        <v>-25000</v>
      </c>
      <c r="L163" s="259">
        <f>-'ادخال  التوقعات المالية'!F86*$U$1</f>
        <v>-25000</v>
      </c>
      <c r="M163" s="259">
        <f>-'ادخال  التوقعات المالية'!G86*$U$1</f>
        <v>-25000</v>
      </c>
      <c r="N163" s="259">
        <f>-'ادخال  التوقعات المالية'!H86*$U$1</f>
        <v>-25000</v>
      </c>
      <c r="O163" s="227"/>
      <c r="P163" s="232"/>
      <c r="Q163" s="94" t="str">
        <f t="shared" si="1"/>
        <v>Yes</v>
      </c>
      <c r="R163" s="81"/>
      <c r="S163" s="81"/>
      <c r="T163" s="81"/>
      <c r="U163" s="81" t="str">
        <f t="shared" si="2"/>
        <v>مصروفات حكومية</v>
      </c>
      <c r="V163" s="83">
        <f t="shared" si="3"/>
        <v>50000</v>
      </c>
      <c r="W163" s="83">
        <f t="shared" si="4"/>
        <v>25000</v>
      </c>
      <c r="X163" s="83">
        <f t="shared" si="5"/>
        <v>25000</v>
      </c>
      <c r="Y163" s="83">
        <f t="shared" si="6"/>
        <v>25000</v>
      </c>
      <c r="Z163" s="83">
        <f t="shared" si="7"/>
        <v>25000</v>
      </c>
      <c r="AA163" s="82"/>
      <c r="AB163" s="82"/>
      <c r="AC163" s="82"/>
      <c r="AD163" s="82"/>
      <c r="AE163" s="82"/>
      <c r="AF163" s="82"/>
      <c r="AG163" s="82"/>
      <c r="AH163" s="82"/>
      <c r="AI163" s="82"/>
      <c r="AJ163" s="82"/>
      <c r="AK163" s="82"/>
      <c r="AL163" s="82"/>
      <c r="AM163" s="82"/>
      <c r="AN163" s="82"/>
    </row>
    <row r="164" spans="1:40" ht="15" customHeight="1" x14ac:dyDescent="0.25">
      <c r="A164" s="227"/>
      <c r="B164" s="230"/>
      <c r="C164" s="227"/>
      <c r="D164" s="378" t="str">
        <f>'ادخال  التوقعات المالية'!B88</f>
        <v>اشتراكات وبرامج</v>
      </c>
      <c r="E164" s="378"/>
      <c r="F164" s="378"/>
      <c r="G164" s="378"/>
      <c r="H164" s="378"/>
      <c r="I164" s="369"/>
      <c r="J164" s="259">
        <f>-'ادخال  التوقعات المالية'!D88*$U$1</f>
        <v>-2000</v>
      </c>
      <c r="K164" s="259">
        <f>-'ادخال  التوقعات المالية'!E88*$U$1</f>
        <v>-2000</v>
      </c>
      <c r="L164" s="259">
        <f>-'ادخال  التوقعات المالية'!F88*$U$1</f>
        <v>-2000</v>
      </c>
      <c r="M164" s="259">
        <f>-'ادخال  التوقعات المالية'!G88*$U$1</f>
        <v>-2000</v>
      </c>
      <c r="N164" s="259">
        <f>-'ادخال  التوقعات المالية'!H88*$U$1</f>
        <v>-2000</v>
      </c>
      <c r="O164" s="227"/>
      <c r="P164" s="232"/>
      <c r="Q164" s="94" t="str">
        <f t="shared" si="1"/>
        <v>Yes</v>
      </c>
      <c r="R164" s="81"/>
      <c r="S164" s="81"/>
      <c r="T164" s="81"/>
      <c r="U164" s="81" t="str">
        <f t="shared" si="2"/>
        <v>اشتراكات وبرامج</v>
      </c>
      <c r="V164" s="83">
        <f t="shared" si="3"/>
        <v>2000</v>
      </c>
      <c r="W164" s="83">
        <f t="shared" si="4"/>
        <v>2000</v>
      </c>
      <c r="X164" s="83">
        <f t="shared" si="5"/>
        <v>2000</v>
      </c>
      <c r="Y164" s="83">
        <f t="shared" si="6"/>
        <v>2000</v>
      </c>
      <c r="Z164" s="83">
        <f t="shared" si="7"/>
        <v>2000</v>
      </c>
      <c r="AA164" s="82"/>
      <c r="AB164" s="82"/>
      <c r="AC164" s="82"/>
      <c r="AD164" s="82"/>
      <c r="AE164" s="82"/>
      <c r="AF164" s="82"/>
      <c r="AG164" s="82"/>
      <c r="AH164" s="82"/>
      <c r="AI164" s="82"/>
      <c r="AJ164" s="82"/>
      <c r="AK164" s="82"/>
      <c r="AL164" s="82"/>
      <c r="AM164" s="82"/>
      <c r="AN164" s="82"/>
    </row>
    <row r="165" spans="1:40" ht="15" customHeight="1" x14ac:dyDescent="0.25">
      <c r="A165" s="227"/>
      <c r="B165" s="230"/>
      <c r="C165" s="227"/>
      <c r="D165" s="378" t="str">
        <f>'ادخال  التوقعات المالية'!B90</f>
        <v>هاتف و انترنت</v>
      </c>
      <c r="E165" s="378"/>
      <c r="F165" s="378"/>
      <c r="G165" s="378"/>
      <c r="H165" s="378"/>
      <c r="I165" s="369"/>
      <c r="J165" s="259">
        <f>-'ادخال  التوقعات المالية'!D90*$U$1</f>
        <v>-12000</v>
      </c>
      <c r="K165" s="259">
        <f>-'ادخال  التوقعات المالية'!E90*$U$1</f>
        <v>-12000</v>
      </c>
      <c r="L165" s="259">
        <f>-'ادخال  التوقعات المالية'!F90*$U$1</f>
        <v>-12000</v>
      </c>
      <c r="M165" s="259">
        <f>-'ادخال  التوقعات المالية'!G90*$U$1</f>
        <v>-12000</v>
      </c>
      <c r="N165" s="259">
        <f>-'ادخال  التوقعات المالية'!H90*$U$1</f>
        <v>-12000</v>
      </c>
      <c r="O165" s="289"/>
      <c r="P165" s="232"/>
      <c r="Q165" s="94" t="str">
        <f t="shared" si="1"/>
        <v>Yes</v>
      </c>
      <c r="R165" s="81"/>
      <c r="S165" s="81"/>
      <c r="T165" s="81"/>
      <c r="U165" s="81" t="str">
        <f t="shared" si="2"/>
        <v>هاتف و انترنت</v>
      </c>
      <c r="V165" s="83">
        <f t="shared" si="3"/>
        <v>12000</v>
      </c>
      <c r="W165" s="83">
        <f t="shared" si="4"/>
        <v>12000</v>
      </c>
      <c r="X165" s="83">
        <f t="shared" si="5"/>
        <v>12000</v>
      </c>
      <c r="Y165" s="83">
        <f t="shared" si="6"/>
        <v>12000</v>
      </c>
      <c r="Z165" s="83">
        <f t="shared" si="7"/>
        <v>12000</v>
      </c>
      <c r="AA165" s="82"/>
      <c r="AB165" s="82"/>
      <c r="AC165" s="82"/>
      <c r="AD165" s="82"/>
      <c r="AE165" s="82"/>
      <c r="AF165" s="82"/>
      <c r="AG165" s="82"/>
      <c r="AH165" s="82"/>
      <c r="AI165" s="82"/>
      <c r="AJ165" s="82"/>
      <c r="AK165" s="82"/>
      <c r="AL165" s="82"/>
      <c r="AM165" s="82"/>
      <c r="AN165" s="82"/>
    </row>
    <row r="166" spans="1:40" ht="15" customHeight="1" x14ac:dyDescent="0.25">
      <c r="A166" s="227"/>
      <c r="B166" s="230"/>
      <c r="C166" s="227"/>
      <c r="D166" s="378" t="str">
        <f>'ادخال  التوقعات المالية'!B92</f>
        <v xml:space="preserve">خدمات -  كهرباء، ماء، نظافة. وقود  ..... </v>
      </c>
      <c r="E166" s="378"/>
      <c r="F166" s="378"/>
      <c r="G166" s="378"/>
      <c r="H166" s="378"/>
      <c r="I166" s="369"/>
      <c r="J166" s="259">
        <f>-'ادخال  التوقعات المالية'!D92*$U$1</f>
        <v>-36000</v>
      </c>
      <c r="K166" s="259">
        <f>-'ادخال  التوقعات المالية'!E92*$U$1</f>
        <v>-36000</v>
      </c>
      <c r="L166" s="259">
        <f>-'ادخال  التوقعات المالية'!F92*$U$1</f>
        <v>-36000</v>
      </c>
      <c r="M166" s="259">
        <f>-'ادخال  التوقعات المالية'!G92*$U$1</f>
        <v>-36000</v>
      </c>
      <c r="N166" s="259">
        <f>-'ادخال  التوقعات المالية'!H92*$U$1</f>
        <v>-36000</v>
      </c>
      <c r="O166" s="227"/>
      <c r="P166" s="232"/>
      <c r="Q166" s="94" t="str">
        <f t="shared" si="1"/>
        <v>Yes</v>
      </c>
      <c r="R166" s="81"/>
      <c r="S166" s="81"/>
      <c r="T166" s="81"/>
      <c r="U166" s="81" t="str">
        <f t="shared" si="2"/>
        <v xml:space="preserve">خدمات -  كهرباء، ماء، نظافة. وقود  ..... </v>
      </c>
      <c r="V166" s="83">
        <f t="shared" si="3"/>
        <v>36000</v>
      </c>
      <c r="W166" s="83">
        <f t="shared" si="4"/>
        <v>36000</v>
      </c>
      <c r="X166" s="83">
        <f t="shared" si="5"/>
        <v>36000</v>
      </c>
      <c r="Y166" s="83">
        <f t="shared" si="6"/>
        <v>36000</v>
      </c>
      <c r="Z166" s="83">
        <f t="shared" si="7"/>
        <v>36000</v>
      </c>
      <c r="AA166" s="82"/>
      <c r="AB166" s="82"/>
      <c r="AC166" s="82"/>
      <c r="AD166" s="82"/>
      <c r="AE166" s="82"/>
      <c r="AF166" s="82"/>
      <c r="AG166" s="82"/>
      <c r="AH166" s="82"/>
      <c r="AI166" s="82"/>
      <c r="AJ166" s="82"/>
      <c r="AK166" s="82"/>
      <c r="AL166" s="82"/>
      <c r="AM166" s="82"/>
      <c r="AN166" s="82"/>
    </row>
    <row r="167" spans="1:40" ht="15" customHeight="1" x14ac:dyDescent="0.25">
      <c r="A167" s="227"/>
      <c r="B167" s="230"/>
      <c r="C167" s="227"/>
      <c r="D167" s="378" t="str">
        <f>'ادخال  التوقعات المالية'!B94</f>
        <v>مصاريف ضيافة</v>
      </c>
      <c r="E167" s="378"/>
      <c r="F167" s="378"/>
      <c r="G167" s="378"/>
      <c r="H167" s="378"/>
      <c r="I167" s="369"/>
      <c r="J167" s="259">
        <f>-'ادخال  التوقعات المالية'!D94*$U$1</f>
        <v>-33000</v>
      </c>
      <c r="K167" s="259">
        <f>-'ادخال  التوقعات المالية'!E94*$U$1</f>
        <v>-39000</v>
      </c>
      <c r="L167" s="259">
        <f>-'ادخال  التوقعات المالية'!F94*$U$1</f>
        <v>-48000</v>
      </c>
      <c r="M167" s="259">
        <f>-'ادخال  التوقعات المالية'!G94*$U$1</f>
        <v>-54000</v>
      </c>
      <c r="N167" s="259">
        <f>-'ادخال  التوقعات المالية'!H94*$U$1</f>
        <v>-60000</v>
      </c>
      <c r="O167" s="227"/>
      <c r="P167" s="232"/>
      <c r="Q167" s="94" t="str">
        <f t="shared" si="1"/>
        <v>Yes</v>
      </c>
      <c r="R167" s="81"/>
      <c r="S167" s="81"/>
      <c r="T167" s="81"/>
      <c r="U167" s="81" t="str">
        <f t="shared" si="2"/>
        <v>مصاريف ضيافة</v>
      </c>
      <c r="V167" s="83">
        <f t="shared" si="3"/>
        <v>33000</v>
      </c>
      <c r="W167" s="83">
        <f t="shared" si="4"/>
        <v>39000</v>
      </c>
      <c r="X167" s="83">
        <f t="shared" si="5"/>
        <v>48000</v>
      </c>
      <c r="Y167" s="83">
        <f t="shared" si="6"/>
        <v>54000</v>
      </c>
      <c r="Z167" s="83">
        <f t="shared" si="7"/>
        <v>60000</v>
      </c>
      <c r="AA167" s="82"/>
      <c r="AB167" s="82"/>
      <c r="AC167" s="82"/>
      <c r="AD167" s="82"/>
      <c r="AE167" s="82"/>
      <c r="AF167" s="82"/>
      <c r="AG167" s="82"/>
      <c r="AH167" s="82"/>
      <c r="AI167" s="82"/>
      <c r="AJ167" s="82"/>
      <c r="AK167" s="82"/>
      <c r="AL167" s="82"/>
      <c r="AM167" s="82"/>
      <c r="AN167" s="82"/>
    </row>
    <row r="168" spans="1:40" ht="15" customHeight="1" x14ac:dyDescent="0.25">
      <c r="A168" s="227"/>
      <c r="B168" s="230"/>
      <c r="C168" s="227"/>
      <c r="D168" s="378" t="str">
        <f>'ادخال  التوقعات المالية'!B96</f>
        <v xml:space="preserve">مصاريف أخرى </v>
      </c>
      <c r="E168" s="378"/>
      <c r="F168" s="378"/>
      <c r="G168" s="378"/>
      <c r="H168" s="378"/>
      <c r="I168" s="369"/>
      <c r="J168" s="259">
        <f>-'ادخال  التوقعات المالية'!D96*$U$1</f>
        <v>-30000</v>
      </c>
      <c r="K168" s="259">
        <f>-'ادخال  التوقعات المالية'!E96*$U$1</f>
        <v>-42000</v>
      </c>
      <c r="L168" s="259">
        <f>-'ادخال  التوقعات المالية'!F96*$U$1</f>
        <v>-48000</v>
      </c>
      <c r="M168" s="259">
        <f>-'ادخال  التوقعات المالية'!G96*$U$1</f>
        <v>-54000</v>
      </c>
      <c r="N168" s="259">
        <f>-'ادخال  التوقعات المالية'!H96*$U$1</f>
        <v>-60000</v>
      </c>
      <c r="O168" s="227"/>
      <c r="P168" s="232"/>
      <c r="Q168" s="94" t="str">
        <f t="shared" si="1"/>
        <v>Yes</v>
      </c>
      <c r="R168" s="81"/>
      <c r="S168" s="81"/>
      <c r="T168" s="81"/>
      <c r="U168" s="81" t="str">
        <f t="shared" si="2"/>
        <v xml:space="preserve">مصاريف أخرى </v>
      </c>
      <c r="V168" s="83">
        <f t="shared" si="3"/>
        <v>30000</v>
      </c>
      <c r="W168" s="83">
        <f t="shared" si="4"/>
        <v>42000</v>
      </c>
      <c r="X168" s="83">
        <f t="shared" si="5"/>
        <v>48000</v>
      </c>
      <c r="Y168" s="83">
        <f t="shared" si="6"/>
        <v>54000</v>
      </c>
      <c r="Z168" s="83">
        <f t="shared" si="7"/>
        <v>60000</v>
      </c>
      <c r="AA168" s="82"/>
      <c r="AB168" s="82"/>
      <c r="AC168" s="82"/>
      <c r="AD168" s="82"/>
      <c r="AE168" s="82"/>
      <c r="AF168" s="82"/>
      <c r="AG168" s="82"/>
      <c r="AH168" s="82"/>
      <c r="AI168" s="82"/>
      <c r="AJ168" s="82"/>
      <c r="AK168" s="82"/>
      <c r="AL168" s="82"/>
      <c r="AM168" s="82"/>
      <c r="AN168" s="82"/>
    </row>
    <row r="169" spans="1:40" ht="15" customHeight="1" x14ac:dyDescent="0.25">
      <c r="A169" s="227"/>
      <c r="B169" s="230" t="s">
        <v>32</v>
      </c>
      <c r="C169" s="227"/>
      <c r="D169" s="378" t="str">
        <f>'ادخال  التوقعات المالية'!B98</f>
        <v>إيجارات</v>
      </c>
      <c r="E169" s="378"/>
      <c r="F169" s="378"/>
      <c r="G169" s="378"/>
      <c r="H169" s="378"/>
      <c r="I169" s="369"/>
      <c r="J169" s="259">
        <f>-'ادخال  التوقعات المالية'!D98*$U$1</f>
        <v>-600000</v>
      </c>
      <c r="K169" s="259">
        <f>-'ادخال  التوقعات المالية'!E98*$U$1</f>
        <v>-600000</v>
      </c>
      <c r="L169" s="259">
        <f>-'ادخال  التوقعات المالية'!F98*$U$1</f>
        <v>-600000</v>
      </c>
      <c r="M169" s="259">
        <f>-'ادخال  التوقعات المالية'!G98*$U$1</f>
        <v>-600000</v>
      </c>
      <c r="N169" s="259">
        <f>-'ادخال  التوقعات المالية'!H98*$U$1</f>
        <v>-600000</v>
      </c>
      <c r="O169" s="227"/>
      <c r="P169" s="232"/>
      <c r="Q169" s="94" t="str">
        <f t="shared" si="1"/>
        <v>Yes</v>
      </c>
      <c r="R169" s="81"/>
      <c r="S169" s="81"/>
      <c r="T169" s="81"/>
      <c r="U169" s="81" t="str">
        <f t="shared" si="2"/>
        <v>إيجارات</v>
      </c>
      <c r="V169" s="83">
        <f t="shared" si="3"/>
        <v>600000</v>
      </c>
      <c r="W169" s="83">
        <f t="shared" si="4"/>
        <v>600000</v>
      </c>
      <c r="X169" s="83">
        <f t="shared" si="5"/>
        <v>600000</v>
      </c>
      <c r="Y169" s="83">
        <f t="shared" si="6"/>
        <v>600000</v>
      </c>
      <c r="Z169" s="83">
        <f t="shared" si="7"/>
        <v>600000</v>
      </c>
      <c r="AA169" s="82"/>
      <c r="AB169" s="82"/>
      <c r="AC169" s="82"/>
      <c r="AD169" s="82"/>
      <c r="AE169" s="82"/>
      <c r="AF169" s="82"/>
      <c r="AG169" s="82"/>
      <c r="AH169" s="82"/>
      <c r="AI169" s="82"/>
      <c r="AJ169" s="82"/>
      <c r="AK169" s="82"/>
      <c r="AL169" s="82"/>
      <c r="AM169" s="82"/>
      <c r="AN169" s="82"/>
    </row>
    <row r="170" spans="1:40" ht="15" customHeight="1" x14ac:dyDescent="0.25">
      <c r="A170" s="227"/>
      <c r="B170" s="230"/>
      <c r="C170" s="227"/>
      <c r="D170" s="378" t="str">
        <f>'ادخال  التوقعات المالية'!B100</f>
        <v>تأمينات</v>
      </c>
      <c r="E170" s="378"/>
      <c r="F170" s="378"/>
      <c r="G170" s="378"/>
      <c r="H170" s="378"/>
      <c r="I170" s="369"/>
      <c r="J170" s="259">
        <f>-'ادخال  التوقعات المالية'!D100*$U$1</f>
        <v>-150000</v>
      </c>
      <c r="K170" s="259">
        <f>-'ادخال  التوقعات المالية'!E100*$U$1</f>
        <v>-150000</v>
      </c>
      <c r="L170" s="259">
        <f>-'ادخال  التوقعات المالية'!F100*$U$1</f>
        <v>-150000</v>
      </c>
      <c r="M170" s="259">
        <f>-'ادخال  التوقعات المالية'!G100*$U$1</f>
        <v>-150000</v>
      </c>
      <c r="N170" s="259">
        <f>-'ادخال  التوقعات المالية'!H100*$U$1</f>
        <v>-150000</v>
      </c>
      <c r="O170" s="227"/>
      <c r="P170" s="232"/>
      <c r="Q170" s="94" t="str">
        <f t="shared" si="1"/>
        <v>Yes</v>
      </c>
      <c r="R170" s="81"/>
      <c r="S170" s="81"/>
      <c r="T170" s="81"/>
      <c r="U170" s="81" t="str">
        <f t="shared" si="2"/>
        <v>تأمينات</v>
      </c>
      <c r="V170" s="83">
        <f t="shared" si="3"/>
        <v>150000</v>
      </c>
      <c r="W170" s="83">
        <f t="shared" si="4"/>
        <v>150000</v>
      </c>
      <c r="X170" s="83">
        <f t="shared" si="5"/>
        <v>150000</v>
      </c>
      <c r="Y170" s="83">
        <f t="shared" si="6"/>
        <v>150000</v>
      </c>
      <c r="Z170" s="83">
        <f t="shared" si="7"/>
        <v>150000</v>
      </c>
      <c r="AA170" s="82"/>
      <c r="AB170" s="82"/>
      <c r="AC170" s="82"/>
      <c r="AD170" s="82"/>
      <c r="AE170" s="82"/>
      <c r="AF170" s="82"/>
      <c r="AG170" s="82"/>
      <c r="AH170" s="82"/>
      <c r="AI170" s="82"/>
      <c r="AJ170" s="82"/>
      <c r="AK170" s="82"/>
      <c r="AL170" s="82"/>
      <c r="AM170" s="82"/>
      <c r="AN170" s="82"/>
    </row>
    <row r="171" spans="1:40" ht="15" hidden="1" customHeight="1" x14ac:dyDescent="0.25">
      <c r="A171" s="227"/>
      <c r="B171" s="230"/>
      <c r="C171" s="227"/>
      <c r="D171" s="378" t="str">
        <f>'ادخال  التوقعات المالية'!B102</f>
        <v>مصاريف تأسيس</v>
      </c>
      <c r="E171" s="378"/>
      <c r="F171" s="378"/>
      <c r="G171" s="378"/>
      <c r="H171" s="378"/>
      <c r="I171" s="369"/>
      <c r="J171" s="259">
        <f>-'ادخال  التوقعات المالية'!D102*$U$1</f>
        <v>0</v>
      </c>
      <c r="K171" s="259">
        <f>-'ادخال  التوقعات المالية'!E102*$U$1</f>
        <v>0</v>
      </c>
      <c r="L171" s="259">
        <f>-'ادخال  التوقعات المالية'!F102*$U$1</f>
        <v>0</v>
      </c>
      <c r="M171" s="259">
        <f>-'ادخال  التوقعات المالية'!G102*$U$1</f>
        <v>0</v>
      </c>
      <c r="N171" s="259">
        <f>-'ادخال  التوقعات المالية'!H102*$U$1</f>
        <v>0</v>
      </c>
      <c r="O171" s="227"/>
      <c r="P171" s="232"/>
      <c r="Q171" s="94" t="str">
        <f t="shared" si="1"/>
        <v>-</v>
      </c>
      <c r="R171" s="81"/>
      <c r="S171" s="81"/>
      <c r="T171" s="81"/>
      <c r="U171" s="81" t="str">
        <f t="shared" si="2"/>
        <v>مصاريف تأسيس</v>
      </c>
      <c r="V171" s="83">
        <f t="shared" si="3"/>
        <v>0</v>
      </c>
      <c r="W171" s="83">
        <f t="shared" si="4"/>
        <v>0</v>
      </c>
      <c r="X171" s="83">
        <f t="shared" si="5"/>
        <v>0</v>
      </c>
      <c r="Y171" s="83">
        <f t="shared" si="6"/>
        <v>0</v>
      </c>
      <c r="Z171" s="83">
        <f t="shared" si="7"/>
        <v>0</v>
      </c>
      <c r="AA171" s="82"/>
      <c r="AB171" s="82"/>
      <c r="AC171" s="82"/>
      <c r="AD171" s="82"/>
      <c r="AE171" s="82"/>
      <c r="AF171" s="82"/>
      <c r="AG171" s="82"/>
      <c r="AH171" s="82"/>
      <c r="AI171" s="82"/>
      <c r="AJ171" s="82"/>
      <c r="AK171" s="82"/>
      <c r="AL171" s="82"/>
      <c r="AM171" s="82"/>
      <c r="AN171" s="82"/>
    </row>
    <row r="172" spans="1:40" ht="15" customHeight="1" x14ac:dyDescent="0.25">
      <c r="A172" s="227"/>
      <c r="B172" s="230"/>
      <c r="C172" s="227"/>
      <c r="D172" s="378" t="str">
        <f>'ادخال  التوقعات المالية'!B104</f>
        <v>استهلاك الأصول الثابتة</v>
      </c>
      <c r="E172" s="378"/>
      <c r="F172" s="378"/>
      <c r="G172" s="378"/>
      <c r="H172" s="378"/>
      <c r="I172" s="369"/>
      <c r="J172" s="259">
        <f>-'ادخال  التوقعات المالية'!D104*$U$1</f>
        <v>-89800</v>
      </c>
      <c r="K172" s="259">
        <f>-'ادخال  التوقعات المالية'!E104*$U$1</f>
        <v>-89800</v>
      </c>
      <c r="L172" s="259">
        <f>-'ادخال  التوقعات المالية'!F104*$U$1</f>
        <v>-89800</v>
      </c>
      <c r="M172" s="259">
        <f>-'ادخال  التوقعات المالية'!G104*$U$1</f>
        <v>-86800</v>
      </c>
      <c r="N172" s="259">
        <f>-'ادخال  التوقعات المالية'!H104*$U$1</f>
        <v>-86800</v>
      </c>
      <c r="O172" s="227"/>
      <c r="P172" s="232"/>
      <c r="Q172" s="94" t="str">
        <f t="shared" si="1"/>
        <v>Yes</v>
      </c>
      <c r="R172" s="81"/>
      <c r="S172" s="81"/>
      <c r="T172" s="81"/>
      <c r="U172" s="81" t="str">
        <f t="shared" si="2"/>
        <v>استهلاك الأصول الثابتة</v>
      </c>
      <c r="V172" s="83">
        <f>-J172</f>
        <v>89800</v>
      </c>
      <c r="W172" s="83">
        <f>-K172</f>
        <v>89800</v>
      </c>
      <c r="X172" s="83">
        <f t="shared" si="5"/>
        <v>89800</v>
      </c>
      <c r="Y172" s="83">
        <f t="shared" si="6"/>
        <v>86800</v>
      </c>
      <c r="Z172" s="83">
        <f t="shared" si="7"/>
        <v>86800</v>
      </c>
      <c r="AA172" s="82"/>
      <c r="AB172" s="82"/>
      <c r="AC172" s="82"/>
      <c r="AD172" s="82"/>
      <c r="AE172" s="82"/>
      <c r="AF172" s="82"/>
      <c r="AG172" s="82"/>
      <c r="AH172" s="82"/>
      <c r="AI172" s="82"/>
      <c r="AJ172" s="82"/>
      <c r="AK172" s="82"/>
      <c r="AL172" s="82"/>
      <c r="AM172" s="82"/>
      <c r="AN172" s="82"/>
    </row>
    <row r="173" spans="1:40" ht="15" customHeight="1" thickBot="1" x14ac:dyDescent="0.3">
      <c r="A173" s="227"/>
      <c r="B173" s="230" t="s">
        <v>32</v>
      </c>
      <c r="C173" s="227"/>
      <c r="D173" s="264" t="s">
        <v>6</v>
      </c>
      <c r="E173" s="264"/>
      <c r="F173" s="264"/>
      <c r="G173" s="264"/>
      <c r="H173" s="264"/>
      <c r="I173" s="265"/>
      <c r="J173" s="266">
        <f>SUM(J160:J172)</f>
        <v>-2677800</v>
      </c>
      <c r="K173" s="266">
        <f>SUM(K160:K172)</f>
        <v>-2910800.0000000005</v>
      </c>
      <c r="L173" s="266">
        <f>SUM(L160:L172)</f>
        <v>-3165800</v>
      </c>
      <c r="M173" s="266">
        <f>SUM(M160:M172)</f>
        <v>-3434799.9999999995</v>
      </c>
      <c r="N173" s="266">
        <f>SUM(N160:N172)</f>
        <v>-3631800</v>
      </c>
      <c r="O173" s="227"/>
      <c r="P173" s="232"/>
      <c r="Q173" s="94" t="str">
        <f t="shared" si="1"/>
        <v>Yes</v>
      </c>
      <c r="R173" s="81"/>
      <c r="S173" s="81"/>
      <c r="T173" s="81"/>
      <c r="U173" s="81"/>
      <c r="V173" s="81"/>
      <c r="W173" s="81"/>
      <c r="X173" s="81"/>
      <c r="Y173" s="82"/>
      <c r="Z173" s="82"/>
      <c r="AA173" s="82"/>
      <c r="AB173" s="82"/>
      <c r="AC173" s="82"/>
      <c r="AD173" s="82"/>
      <c r="AE173" s="82"/>
      <c r="AF173" s="82"/>
      <c r="AG173" s="82"/>
      <c r="AH173" s="82"/>
      <c r="AI173" s="82"/>
      <c r="AJ173" s="82"/>
      <c r="AK173" s="82"/>
      <c r="AL173" s="82"/>
      <c r="AM173" s="82"/>
      <c r="AN173" s="82"/>
    </row>
    <row r="174" spans="1:40" ht="15" customHeight="1" x14ac:dyDescent="0.25">
      <c r="A174" s="227"/>
      <c r="B174" s="230" t="s">
        <v>32</v>
      </c>
      <c r="C174" s="227"/>
      <c r="D174" s="382" t="s">
        <v>42</v>
      </c>
      <c r="E174" s="382"/>
      <c r="F174" s="382"/>
      <c r="G174" s="382"/>
      <c r="H174" s="382"/>
      <c r="I174" s="371"/>
      <c r="J174" s="260">
        <f>-J173/J$153</f>
        <v>0.62019676389675704</v>
      </c>
      <c r="K174" s="260">
        <f>-K173/K$153</f>
        <v>0.44781807152381381</v>
      </c>
      <c r="L174" s="260">
        <f>-L173/L$153</f>
        <v>0.39572737436424621</v>
      </c>
      <c r="M174" s="260">
        <f>-M173/M$153</f>
        <v>0.38164673432485036</v>
      </c>
      <c r="N174" s="260">
        <f>-N173/N$153</f>
        <v>0.36318217909307454</v>
      </c>
      <c r="O174" s="227"/>
      <c r="P174" s="232"/>
      <c r="Q174" s="94" t="str">
        <f t="shared" si="1"/>
        <v>Yes</v>
      </c>
      <c r="R174" s="81"/>
      <c r="S174" s="81"/>
      <c r="T174" s="81"/>
      <c r="U174" s="81"/>
      <c r="V174" s="81"/>
      <c r="W174" s="81"/>
      <c r="X174" s="81"/>
      <c r="Y174" s="82"/>
      <c r="Z174" s="82"/>
      <c r="AA174" s="82"/>
      <c r="AB174" s="82"/>
      <c r="AC174" s="82"/>
      <c r="AD174" s="82"/>
      <c r="AE174" s="82"/>
      <c r="AF174" s="82"/>
      <c r="AG174" s="82"/>
      <c r="AH174" s="82"/>
      <c r="AI174" s="82"/>
      <c r="AJ174" s="82"/>
      <c r="AK174" s="82"/>
      <c r="AL174" s="82"/>
      <c r="AM174" s="82"/>
      <c r="AN174" s="82"/>
    </row>
    <row r="175" spans="1:40" ht="15" customHeight="1" x14ac:dyDescent="0.25">
      <c r="A175" s="227"/>
      <c r="B175" s="230" t="s">
        <v>32</v>
      </c>
      <c r="C175" s="227"/>
      <c r="D175" s="376" t="s">
        <v>40</v>
      </c>
      <c r="E175" s="376"/>
      <c r="F175" s="376"/>
      <c r="G175" s="376"/>
      <c r="H175" s="376"/>
      <c r="I175" s="370"/>
      <c r="J175" s="267">
        <f>J156+J173</f>
        <v>-187579.40000000037</v>
      </c>
      <c r="K175" s="267">
        <f>K156+K173</f>
        <v>837836.44999999972</v>
      </c>
      <c r="L175" s="267">
        <f>L156+L173</f>
        <v>1447906.4000000004</v>
      </c>
      <c r="M175" s="267">
        <f>M156+M173</f>
        <v>1755619.7000000007</v>
      </c>
      <c r="N175" s="267">
        <f>N156+N173</f>
        <v>2135333</v>
      </c>
      <c r="O175" s="227"/>
      <c r="P175" s="232"/>
      <c r="Q175" s="94" t="str">
        <f t="shared" si="1"/>
        <v>Yes</v>
      </c>
      <c r="R175" s="81"/>
      <c r="S175" s="81"/>
      <c r="T175" s="81"/>
      <c r="U175" s="81"/>
      <c r="V175" s="81"/>
      <c r="W175" s="81"/>
      <c r="X175" s="81"/>
      <c r="Y175" s="82"/>
      <c r="Z175" s="82"/>
      <c r="AA175" s="82"/>
      <c r="AB175" s="82"/>
      <c r="AC175" s="82"/>
      <c r="AD175" s="82"/>
      <c r="AE175" s="82"/>
      <c r="AF175" s="82"/>
      <c r="AG175" s="82"/>
      <c r="AH175" s="82"/>
      <c r="AI175" s="82"/>
      <c r="AJ175" s="82"/>
      <c r="AK175" s="82"/>
      <c r="AL175" s="82"/>
      <c r="AM175" s="82"/>
      <c r="AN175" s="82"/>
    </row>
    <row r="176" spans="1:40" ht="15" customHeight="1" x14ac:dyDescent="0.25">
      <c r="A176" s="227"/>
      <c r="B176" s="230"/>
      <c r="C176" s="227"/>
      <c r="D176" s="378" t="s">
        <v>194</v>
      </c>
      <c r="E176" s="378"/>
      <c r="F176" s="378"/>
      <c r="G176" s="378"/>
      <c r="H176" s="378"/>
      <c r="I176" s="369"/>
      <c r="J176" s="259">
        <f>-'ادخال  التوقعات المالية'!C206*$U$1</f>
        <v>-32000</v>
      </c>
      <c r="K176" s="259">
        <f>-'ادخال  التوقعات المالية'!C207*$U$1</f>
        <v>-27175.619119745472</v>
      </c>
      <c r="L176" s="259">
        <f>-'ادخال  التوقعات المالية'!C208*$U$1</f>
        <v>-22158.263004280758</v>
      </c>
      <c r="M176" s="259">
        <f>-'ادخال  التوقعات المالية'!C209*$U$1</f>
        <v>-16940.212644197458</v>
      </c>
      <c r="N176" s="259">
        <f>-'ادخال  التوقعات المالية'!C210*$U$1</f>
        <v>-11513.440269710827</v>
      </c>
      <c r="O176" s="227"/>
      <c r="P176" s="232"/>
      <c r="Q176" s="94" t="str">
        <f t="shared" si="1"/>
        <v>Yes</v>
      </c>
      <c r="R176" s="81"/>
      <c r="S176" s="81"/>
      <c r="T176" s="81"/>
      <c r="U176" s="81"/>
      <c r="V176" s="81"/>
      <c r="W176" s="81"/>
      <c r="X176" s="81"/>
      <c r="Y176" s="82"/>
      <c r="Z176" s="82"/>
      <c r="AA176" s="82"/>
      <c r="AB176" s="82"/>
      <c r="AC176" s="82"/>
      <c r="AD176" s="82"/>
      <c r="AE176" s="82"/>
      <c r="AF176" s="82"/>
      <c r="AG176" s="82"/>
      <c r="AH176" s="82"/>
      <c r="AI176" s="82"/>
      <c r="AJ176" s="82"/>
      <c r="AK176" s="82"/>
      <c r="AL176" s="82"/>
      <c r="AM176" s="82"/>
      <c r="AN176" s="82"/>
    </row>
    <row r="177" spans="1:40" ht="15" customHeight="1" x14ac:dyDescent="0.25">
      <c r="A177" s="227"/>
      <c r="B177" s="230" t="s">
        <v>32</v>
      </c>
      <c r="C177" s="227"/>
      <c r="D177" s="383" t="s">
        <v>142</v>
      </c>
      <c r="E177" s="383"/>
      <c r="F177" s="383"/>
      <c r="G177" s="383"/>
      <c r="H177" s="383"/>
      <c r="I177" s="372"/>
      <c r="J177" s="259">
        <f>-IF(J175&lt;0,0,J175*'ادخال  التوقعات المالية'!$C$130)</f>
        <v>0</v>
      </c>
      <c r="K177" s="259">
        <f>-IF(K175&lt;0,0,K175*'ادخال  التوقعات المالية'!$C$130)</f>
        <v>-20945.911249999994</v>
      </c>
      <c r="L177" s="259">
        <f>-IF(L175&lt;0,0,L175*'ادخال  التوقعات المالية'!$C$130)</f>
        <v>-36197.660000000011</v>
      </c>
      <c r="M177" s="259">
        <f>-IF(M175&lt;0,0,M175*'ادخال  التوقعات المالية'!$C$130)</f>
        <v>-43890.492500000022</v>
      </c>
      <c r="N177" s="259">
        <f>-IF(N175&lt;0,0,N175*'ادخال  التوقعات المالية'!$C$130)</f>
        <v>-53383.325000000004</v>
      </c>
      <c r="O177" s="227"/>
      <c r="P177" s="232"/>
      <c r="Q177" s="94" t="str">
        <f t="shared" si="1"/>
        <v>Yes</v>
      </c>
      <c r="R177" s="81"/>
      <c r="S177" s="81"/>
      <c r="T177" s="81"/>
      <c r="U177" s="81"/>
      <c r="V177" s="81"/>
      <c r="W177" s="81"/>
      <c r="X177" s="81"/>
      <c r="Y177" s="82"/>
      <c r="Z177" s="82"/>
      <c r="AA177" s="82"/>
      <c r="AB177" s="82"/>
      <c r="AC177" s="82"/>
      <c r="AD177" s="82"/>
      <c r="AE177" s="82"/>
      <c r="AF177" s="82"/>
      <c r="AG177" s="82"/>
      <c r="AH177" s="82"/>
      <c r="AI177" s="82"/>
      <c r="AJ177" s="82"/>
      <c r="AK177" s="82"/>
      <c r="AL177" s="82"/>
      <c r="AM177" s="82"/>
      <c r="AN177" s="82"/>
    </row>
    <row r="178" spans="1:40" ht="15.75" customHeight="1" thickBot="1" x14ac:dyDescent="0.3">
      <c r="A178" s="227"/>
      <c r="B178" s="230" t="s">
        <v>32</v>
      </c>
      <c r="C178" s="227"/>
      <c r="D178" s="268" t="s">
        <v>17</v>
      </c>
      <c r="E178" s="268"/>
      <c r="F178" s="268"/>
      <c r="G178" s="268"/>
      <c r="H178" s="268"/>
      <c r="I178" s="269"/>
      <c r="J178" s="430">
        <f>J175+J177+J176</f>
        <v>-219579.40000000037</v>
      </c>
      <c r="K178" s="430">
        <f>K175+K177+K176</f>
        <v>789714.91963025427</v>
      </c>
      <c r="L178" s="430">
        <f>L175+L177+L176</f>
        <v>1389550.4769957196</v>
      </c>
      <c r="M178" s="430">
        <f>M175+M177+M176</f>
        <v>1694788.9948558032</v>
      </c>
      <c r="N178" s="430">
        <f>N175+N177+N176</f>
        <v>2070436.2347302893</v>
      </c>
      <c r="O178" s="227"/>
      <c r="P178" s="232"/>
      <c r="Q178" s="94" t="s">
        <v>130</v>
      </c>
      <c r="R178" s="81"/>
      <c r="S178" s="81"/>
      <c r="T178" s="81"/>
      <c r="U178" s="81"/>
      <c r="V178" s="81"/>
      <c r="W178" s="81"/>
      <c r="X178" s="81"/>
      <c r="Y178" s="82"/>
      <c r="Z178" s="82"/>
      <c r="AA178" s="82"/>
      <c r="AB178" s="82"/>
      <c r="AC178" s="82"/>
      <c r="AD178" s="82"/>
      <c r="AE178" s="82"/>
      <c r="AF178" s="82"/>
      <c r="AG178" s="82"/>
      <c r="AH178" s="82"/>
      <c r="AI178" s="82"/>
      <c r="AJ178" s="82"/>
      <c r="AK178" s="82"/>
      <c r="AL178" s="82"/>
      <c r="AM178" s="82"/>
      <c r="AN178" s="82"/>
    </row>
    <row r="179" spans="1:40" ht="15" customHeight="1" x14ac:dyDescent="0.25">
      <c r="A179" s="227"/>
      <c r="B179" s="230" t="s">
        <v>32</v>
      </c>
      <c r="C179" s="227"/>
      <c r="D179" s="382" t="s">
        <v>42</v>
      </c>
      <c r="E179" s="382"/>
      <c r="F179" s="382"/>
      <c r="G179" s="382"/>
      <c r="H179" s="382"/>
      <c r="I179" s="368"/>
      <c r="J179" s="270">
        <f>J178/J$153</f>
        <v>-5.0856088318168576E-2</v>
      </c>
      <c r="K179" s="270">
        <f>K178/K$153</f>
        <v>0.12149533199203107</v>
      </c>
      <c r="L179" s="270">
        <f>L178/L$153</f>
        <v>0.17369485179357572</v>
      </c>
      <c r="M179" s="270">
        <f>M178/M$153</f>
        <v>0.18831101818342058</v>
      </c>
      <c r="N179" s="270">
        <f>N178/N$153</f>
        <v>0.20704486574222339</v>
      </c>
      <c r="O179" s="227"/>
      <c r="P179" s="232"/>
      <c r="Q179" s="94" t="s">
        <v>130</v>
      </c>
      <c r="R179" s="81"/>
      <c r="S179" s="81"/>
      <c r="T179" s="81"/>
      <c r="U179" s="81"/>
      <c r="V179" s="81"/>
      <c r="W179" s="81"/>
      <c r="X179" s="81"/>
      <c r="Y179" s="82"/>
      <c r="Z179" s="82"/>
      <c r="AA179" s="82"/>
      <c r="AB179" s="82"/>
      <c r="AC179" s="82"/>
      <c r="AD179" s="82"/>
      <c r="AE179" s="82"/>
      <c r="AF179" s="82"/>
      <c r="AG179" s="82"/>
      <c r="AH179" s="82"/>
      <c r="AI179" s="82"/>
      <c r="AJ179" s="82"/>
      <c r="AK179" s="82"/>
      <c r="AL179" s="82"/>
      <c r="AM179" s="82"/>
      <c r="AN179" s="82"/>
    </row>
    <row r="180" spans="1:40" ht="15" customHeight="1" x14ac:dyDescent="0.25">
      <c r="A180" s="227"/>
      <c r="B180" s="230" t="s">
        <v>32</v>
      </c>
      <c r="C180" s="227"/>
      <c r="D180" s="377" t="s">
        <v>16</v>
      </c>
      <c r="E180" s="377"/>
      <c r="F180" s="377"/>
      <c r="G180" s="377"/>
      <c r="H180" s="377"/>
      <c r="I180" s="371"/>
      <c r="J180" s="260"/>
      <c r="K180" s="260">
        <f>IF(K178&gt;J178,IF((K178-J178)/J178&lt;0,(K178-J178)/-J178,(K178-J178)/J178),-IF((K178-J178)/J178&lt;0,(K178-J178)/-J178,(K178-J178)/J178))</f>
        <v>4.5964891043069294</v>
      </c>
      <c r="L180" s="260">
        <f>IF(L178&gt;K178,IF((L178-K178)/K178&lt;0,(L178-K178)/-K178,(L178-K178)/K178),-IF((L178-K178)/K178&lt;0,(L178-K178)/-K178,(L178-K178)/K178))</f>
        <v>0.75955961126618865</v>
      </c>
      <c r="M180" s="260">
        <f>IF(M178&gt;L178,IF((M178-L178)/L178&lt;0,(M178-L178)/-L178,(M178-L178)/L178),-IF((M178-L178)/L178&lt;0,(M178-L178)/-L178,(M178-L178)/L178))</f>
        <v>0.21966709587983099</v>
      </c>
      <c r="N180" s="260">
        <f>IF(N178&gt;M178,IF((N178-M178)/M178&lt;0,(N178-M178)/-M178,(N178-M178)/M178),-IF((N178-M178)/M178&lt;0,(N178-M178)/-M178,(N178-M178)/M178))</f>
        <v>0.22164838278670029</v>
      </c>
      <c r="O180" s="227"/>
      <c r="P180" s="232"/>
      <c r="Q180" s="94" t="s">
        <v>130</v>
      </c>
      <c r="R180" s="81"/>
      <c r="S180" s="81"/>
      <c r="T180" s="81"/>
      <c r="U180" s="81"/>
      <c r="V180" s="81"/>
      <c r="W180" s="81"/>
      <c r="X180" s="81"/>
      <c r="Y180" s="82"/>
      <c r="Z180" s="82"/>
      <c r="AA180" s="82"/>
      <c r="AB180" s="82"/>
      <c r="AC180" s="82"/>
      <c r="AD180" s="82"/>
      <c r="AE180" s="82"/>
      <c r="AF180" s="82"/>
      <c r="AG180" s="82"/>
      <c r="AH180" s="82"/>
      <c r="AI180" s="82"/>
      <c r="AJ180" s="82"/>
      <c r="AK180" s="82"/>
      <c r="AL180" s="82"/>
      <c r="AM180" s="82"/>
      <c r="AN180" s="82"/>
    </row>
    <row r="181" spans="1:40" ht="15" x14ac:dyDescent="0.25">
      <c r="A181" s="227"/>
      <c r="B181" s="230" t="s">
        <v>32</v>
      </c>
      <c r="C181" s="227"/>
      <c r="D181" s="227"/>
      <c r="E181" s="227"/>
      <c r="F181" s="227"/>
      <c r="G181" s="227"/>
      <c r="H181" s="227"/>
      <c r="I181" s="231"/>
      <c r="J181" s="227"/>
      <c r="K181" s="271"/>
      <c r="L181" s="227"/>
      <c r="M181" s="227"/>
      <c r="N181" s="227"/>
      <c r="O181" s="227"/>
      <c r="P181" s="232"/>
      <c r="Q181" s="94" t="s">
        <v>130</v>
      </c>
      <c r="R181" s="81"/>
      <c r="S181" s="81"/>
      <c r="T181" s="81"/>
      <c r="U181" s="81"/>
      <c r="V181" s="81"/>
      <c r="W181" s="81"/>
      <c r="X181" s="81"/>
      <c r="Y181" s="82"/>
      <c r="Z181" s="82"/>
      <c r="AA181" s="82"/>
      <c r="AB181" s="82"/>
      <c r="AC181" s="82"/>
      <c r="AD181" s="82"/>
      <c r="AE181" s="82"/>
      <c r="AF181" s="82"/>
      <c r="AG181" s="82"/>
      <c r="AH181" s="82"/>
      <c r="AI181" s="82"/>
      <c r="AJ181" s="82"/>
      <c r="AK181" s="82"/>
      <c r="AL181" s="82"/>
      <c r="AM181" s="82"/>
      <c r="AN181" s="82"/>
    </row>
    <row r="182" spans="1:40" ht="15" x14ac:dyDescent="0.25">
      <c r="A182" s="227"/>
      <c r="B182" s="230"/>
      <c r="C182" s="227"/>
      <c r="D182" s="227"/>
      <c r="E182" s="227"/>
      <c r="F182" s="227"/>
      <c r="G182" s="227"/>
      <c r="H182" s="227"/>
      <c r="I182" s="231"/>
      <c r="J182" s="227"/>
      <c r="K182" s="271"/>
      <c r="L182" s="271"/>
      <c r="M182" s="271"/>
      <c r="N182" s="227"/>
      <c r="O182" s="227"/>
      <c r="P182" s="232"/>
      <c r="Q182" s="94" t="s">
        <v>130</v>
      </c>
      <c r="R182" s="81"/>
      <c r="S182" s="81"/>
      <c r="T182" s="81"/>
      <c r="U182" s="81"/>
      <c r="V182" s="81"/>
      <c r="W182" s="81"/>
      <c r="X182" s="81"/>
      <c r="Y182" s="82"/>
      <c r="Z182" s="82"/>
      <c r="AA182" s="82"/>
      <c r="AB182" s="82"/>
      <c r="AC182" s="82"/>
      <c r="AD182" s="82"/>
      <c r="AE182" s="82"/>
      <c r="AF182" s="82"/>
      <c r="AG182" s="82"/>
      <c r="AH182" s="82"/>
      <c r="AI182" s="82"/>
      <c r="AJ182" s="82"/>
      <c r="AK182" s="82"/>
      <c r="AL182" s="82"/>
      <c r="AM182" s="82"/>
      <c r="AN182" s="82"/>
    </row>
    <row r="183" spans="1:40" ht="15.6" x14ac:dyDescent="0.25">
      <c r="A183" s="227"/>
      <c r="B183" s="230"/>
      <c r="C183" s="227"/>
      <c r="D183" s="227"/>
      <c r="E183" s="227"/>
      <c r="F183" s="227"/>
      <c r="G183" s="227"/>
      <c r="H183" s="227"/>
      <c r="I183" s="231"/>
      <c r="J183" s="227"/>
      <c r="K183" s="271"/>
      <c r="L183" s="271"/>
      <c r="M183" s="271"/>
      <c r="N183" s="227"/>
      <c r="O183" s="272"/>
      <c r="P183" s="232"/>
      <c r="Q183" s="94" t="s">
        <v>130</v>
      </c>
      <c r="R183" s="81"/>
      <c r="S183" s="81"/>
      <c r="T183" s="81"/>
      <c r="U183" s="81"/>
      <c r="V183" s="81"/>
      <c r="W183" s="81"/>
      <c r="X183" s="81"/>
      <c r="Y183" s="82"/>
      <c r="Z183" s="82"/>
      <c r="AA183" s="82"/>
      <c r="AB183" s="82"/>
      <c r="AC183" s="82"/>
      <c r="AD183" s="82"/>
      <c r="AE183" s="82"/>
      <c r="AF183" s="82"/>
      <c r="AG183" s="82"/>
      <c r="AH183" s="82"/>
      <c r="AI183" s="82"/>
      <c r="AJ183" s="82"/>
      <c r="AK183" s="82"/>
      <c r="AL183" s="82"/>
      <c r="AM183" s="82"/>
      <c r="AN183" s="82"/>
    </row>
    <row r="184" spans="1:40" ht="23.7" customHeight="1" x14ac:dyDescent="0.25">
      <c r="A184" s="227"/>
      <c r="B184" s="230"/>
      <c r="C184" s="227"/>
      <c r="D184" s="243"/>
      <c r="E184" s="243"/>
      <c r="F184" s="243"/>
      <c r="G184" s="243"/>
      <c r="H184" s="243"/>
      <c r="I184" s="243"/>
      <c r="J184" s="243"/>
      <c r="K184" s="243"/>
      <c r="L184" s="243"/>
      <c r="M184" s="243"/>
      <c r="N184" s="243"/>
      <c r="O184" s="243"/>
      <c r="P184" s="243"/>
      <c r="Q184" s="94" t="s">
        <v>130</v>
      </c>
      <c r="R184" s="82"/>
      <c r="S184" s="82"/>
      <c r="T184" s="82"/>
      <c r="U184" s="82"/>
      <c r="V184" s="82"/>
      <c r="W184" s="82"/>
      <c r="X184" s="82"/>
      <c r="Y184" s="82"/>
      <c r="Z184" s="82"/>
      <c r="AA184" s="82"/>
      <c r="AB184" s="82"/>
      <c r="AC184" s="82"/>
      <c r="AD184" s="82"/>
      <c r="AE184" s="82"/>
      <c r="AF184" s="82"/>
      <c r="AG184" s="82"/>
      <c r="AH184" s="82"/>
      <c r="AI184" s="82"/>
      <c r="AJ184" s="82"/>
      <c r="AK184" s="82"/>
      <c r="AL184" s="82"/>
      <c r="AM184" s="82"/>
      <c r="AN184" s="82"/>
    </row>
    <row r="185" spans="1:40" ht="23.7" customHeight="1" x14ac:dyDescent="0.25">
      <c r="A185" s="227"/>
      <c r="B185" s="230"/>
      <c r="C185" s="227"/>
      <c r="D185" s="243"/>
      <c r="E185" s="243"/>
      <c r="F185" s="243"/>
      <c r="G185" s="243"/>
      <c r="H185" s="243"/>
      <c r="I185" s="243"/>
      <c r="J185" s="243"/>
      <c r="K185" s="243"/>
      <c r="L185" s="243"/>
      <c r="M185" s="243"/>
      <c r="N185" s="243"/>
      <c r="O185" s="243"/>
      <c r="P185" s="243"/>
      <c r="Q185" s="94" t="s">
        <v>130</v>
      </c>
      <c r="R185" s="82"/>
      <c r="S185" s="82"/>
      <c r="T185" s="82"/>
      <c r="U185" s="82"/>
      <c r="V185" s="82"/>
      <c r="W185" s="82"/>
      <c r="X185" s="82"/>
      <c r="Y185" s="82"/>
      <c r="Z185" s="82"/>
      <c r="AA185" s="82"/>
      <c r="AB185" s="82"/>
      <c r="AC185" s="82"/>
      <c r="AD185" s="82"/>
      <c r="AE185" s="82"/>
      <c r="AF185" s="82"/>
      <c r="AG185" s="82"/>
      <c r="AH185" s="82"/>
      <c r="AI185" s="82"/>
      <c r="AJ185" s="82"/>
      <c r="AK185" s="82"/>
      <c r="AL185" s="82"/>
      <c r="AM185" s="82"/>
      <c r="AN185" s="82"/>
    </row>
    <row r="186" spans="1:40" ht="23.7" customHeight="1" x14ac:dyDescent="0.25">
      <c r="A186" s="227"/>
      <c r="B186" s="230"/>
      <c r="C186" s="227"/>
      <c r="D186" s="243"/>
      <c r="E186" s="243"/>
      <c r="F186" s="227"/>
      <c r="G186" s="227"/>
      <c r="H186" s="227"/>
      <c r="I186" s="231"/>
      <c r="J186" s="273"/>
      <c r="K186" s="273"/>
      <c r="L186" s="273"/>
      <c r="M186" s="273"/>
      <c r="N186" s="273"/>
      <c r="O186" s="250"/>
      <c r="P186" s="232"/>
      <c r="Q186" s="94" t="s">
        <v>130</v>
      </c>
      <c r="R186" s="81"/>
      <c r="S186" s="81"/>
      <c r="T186" s="82"/>
      <c r="U186" s="81"/>
      <c r="V186" s="81"/>
      <c r="W186" s="81"/>
      <c r="X186" s="81"/>
      <c r="Y186" s="82"/>
      <c r="Z186" s="82"/>
      <c r="AA186" s="82"/>
      <c r="AB186" s="82"/>
      <c r="AC186" s="82"/>
      <c r="AD186" s="82"/>
      <c r="AE186" s="82"/>
      <c r="AF186" s="82"/>
      <c r="AG186" s="82"/>
      <c r="AH186" s="82"/>
      <c r="AI186" s="82"/>
      <c r="AJ186" s="82"/>
      <c r="AK186" s="82"/>
      <c r="AL186" s="82"/>
      <c r="AM186" s="82"/>
      <c r="AN186" s="82"/>
    </row>
    <row r="187" spans="1:40" ht="23.7" customHeight="1" x14ac:dyDescent="0.25">
      <c r="A187" s="227"/>
      <c r="B187" s="230"/>
      <c r="C187" s="243"/>
      <c r="D187" s="243"/>
      <c r="E187" s="243"/>
      <c r="F187" s="243"/>
      <c r="G187" s="243"/>
      <c r="H187" s="243"/>
      <c r="I187" s="274"/>
      <c r="J187" s="275"/>
      <c r="K187" s="275"/>
      <c r="L187" s="273"/>
      <c r="M187" s="273"/>
      <c r="N187" s="273"/>
      <c r="O187" s="250"/>
      <c r="P187" s="232"/>
      <c r="Q187" s="94" t="s">
        <v>130</v>
      </c>
      <c r="R187" s="81"/>
      <c r="S187" s="81"/>
      <c r="T187" s="81"/>
      <c r="U187" s="81"/>
      <c r="V187" s="81"/>
      <c r="W187" s="81"/>
      <c r="X187" s="81"/>
      <c r="Y187" s="82"/>
      <c r="Z187" s="82"/>
      <c r="AA187" s="82"/>
      <c r="AB187" s="82"/>
      <c r="AC187" s="82"/>
      <c r="AD187" s="82"/>
      <c r="AE187" s="82"/>
      <c r="AF187" s="82"/>
      <c r="AG187" s="82"/>
      <c r="AH187" s="82"/>
      <c r="AI187" s="82"/>
      <c r="AJ187" s="82"/>
      <c r="AK187" s="82"/>
      <c r="AL187" s="82"/>
      <c r="AM187" s="82"/>
      <c r="AN187" s="82"/>
    </row>
    <row r="188" spans="1:40" ht="23.7" customHeight="1" x14ac:dyDescent="0.25">
      <c r="A188" s="227"/>
      <c r="B188" s="230" t="s">
        <v>32</v>
      </c>
      <c r="C188" s="243"/>
      <c r="D188" s="243"/>
      <c r="E188" s="243"/>
      <c r="F188" s="243"/>
      <c r="G188" s="243"/>
      <c r="H188" s="243"/>
      <c r="I188" s="258"/>
      <c r="J188" s="243"/>
      <c r="K188" s="243"/>
      <c r="L188" s="243"/>
      <c r="M188" s="243"/>
      <c r="N188" s="250"/>
      <c r="O188" s="250"/>
      <c r="P188" s="232"/>
      <c r="Q188" s="94" t="s">
        <v>130</v>
      </c>
      <c r="R188" s="81"/>
      <c r="S188" s="81"/>
      <c r="T188" s="81"/>
      <c r="U188" s="81"/>
      <c r="V188" s="81"/>
      <c r="W188" s="81"/>
      <c r="X188" s="81"/>
      <c r="Y188" s="82"/>
      <c r="Z188" s="82"/>
      <c r="AA188" s="82"/>
      <c r="AB188" s="82"/>
      <c r="AC188" s="82"/>
      <c r="AD188" s="82"/>
      <c r="AE188" s="82"/>
      <c r="AF188" s="82"/>
      <c r="AG188" s="82"/>
      <c r="AH188" s="82"/>
      <c r="AI188" s="82"/>
      <c r="AJ188" s="82"/>
      <c r="AK188" s="82"/>
      <c r="AL188" s="82"/>
      <c r="AM188" s="82"/>
      <c r="AN188" s="82"/>
    </row>
    <row r="189" spans="1:40" ht="23.7" customHeight="1" x14ac:dyDescent="0.25">
      <c r="A189" s="227"/>
      <c r="B189" s="230" t="s">
        <v>32</v>
      </c>
      <c r="C189" s="243"/>
      <c r="D189" s="243"/>
      <c r="E189" s="243"/>
      <c r="F189" s="276" t="str">
        <f>D152</f>
        <v>قائمة الدخل المتوقعة</v>
      </c>
      <c r="G189" s="276">
        <f t="shared" ref="G189:K190" si="8">J152</f>
        <v>2024</v>
      </c>
      <c r="H189" s="276">
        <f t="shared" si="8"/>
        <v>2025</v>
      </c>
      <c r="I189" s="277">
        <f t="shared" si="8"/>
        <v>2026</v>
      </c>
      <c r="J189" s="277">
        <f t="shared" si="8"/>
        <v>2027</v>
      </c>
      <c r="K189" s="277">
        <f t="shared" si="8"/>
        <v>2028</v>
      </c>
      <c r="L189" s="243"/>
      <c r="M189" s="243"/>
      <c r="N189" s="243"/>
      <c r="O189" s="243"/>
      <c r="P189" s="232"/>
      <c r="Q189" s="94" t="s">
        <v>130</v>
      </c>
      <c r="R189" s="81"/>
      <c r="S189" s="81"/>
      <c r="T189" s="81"/>
      <c r="U189" s="81"/>
      <c r="V189" s="81"/>
      <c r="W189" s="81"/>
      <c r="X189" s="81"/>
      <c r="Y189" s="82"/>
      <c r="Z189" s="82"/>
      <c r="AA189" s="82"/>
      <c r="AB189" s="82"/>
      <c r="AC189" s="82"/>
      <c r="AD189" s="82"/>
      <c r="AE189" s="82"/>
      <c r="AF189" s="82"/>
      <c r="AG189" s="82"/>
      <c r="AH189" s="82"/>
      <c r="AI189" s="82"/>
      <c r="AJ189" s="82"/>
      <c r="AK189" s="82"/>
      <c r="AL189" s="82"/>
      <c r="AM189" s="82"/>
      <c r="AN189" s="82"/>
    </row>
    <row r="190" spans="1:40" ht="23.7" customHeight="1" x14ac:dyDescent="0.25">
      <c r="A190" s="227"/>
      <c r="B190" s="230" t="s">
        <v>32</v>
      </c>
      <c r="C190" s="243"/>
      <c r="D190" s="243"/>
      <c r="E190" s="243"/>
      <c r="F190" s="276" t="str">
        <f>D153</f>
        <v xml:space="preserve">الإيرادات </v>
      </c>
      <c r="G190" s="278">
        <f t="shared" si="8"/>
        <v>4317662</v>
      </c>
      <c r="H190" s="278">
        <f t="shared" si="8"/>
        <v>6499961</v>
      </c>
      <c r="I190" s="274">
        <f t="shared" si="8"/>
        <v>7999952</v>
      </c>
      <c r="J190" s="274">
        <f t="shared" si="8"/>
        <v>8999946</v>
      </c>
      <c r="K190" s="274">
        <f t="shared" si="8"/>
        <v>9999940</v>
      </c>
      <c r="L190" s="243"/>
      <c r="M190" s="243"/>
      <c r="N190" s="243"/>
      <c r="O190" s="243"/>
      <c r="P190" s="232"/>
      <c r="Q190" s="94" t="s">
        <v>130</v>
      </c>
      <c r="R190" s="81"/>
      <c r="S190" s="81"/>
      <c r="T190" s="81"/>
      <c r="U190" s="81"/>
      <c r="V190" s="81"/>
      <c r="W190" s="81"/>
      <c r="X190" s="81"/>
      <c r="Y190" s="82"/>
      <c r="Z190" s="82"/>
      <c r="AA190" s="82"/>
      <c r="AB190" s="82"/>
      <c r="AC190" s="82"/>
      <c r="AD190" s="82"/>
      <c r="AE190" s="82"/>
      <c r="AF190" s="82"/>
      <c r="AG190" s="82"/>
      <c r="AH190" s="82"/>
      <c r="AI190" s="82"/>
      <c r="AJ190" s="82"/>
      <c r="AK190" s="82"/>
      <c r="AL190" s="82"/>
      <c r="AM190" s="82"/>
      <c r="AN190" s="82"/>
    </row>
    <row r="191" spans="1:40" ht="23.7" customHeight="1" x14ac:dyDescent="0.25">
      <c r="A191" s="227"/>
      <c r="B191" s="230" t="s">
        <v>32</v>
      </c>
      <c r="C191" s="243"/>
      <c r="D191" s="243"/>
      <c r="E191" s="243"/>
      <c r="F191" s="276" t="str">
        <f>D156</f>
        <v>مجمل الربح</v>
      </c>
      <c r="G191" s="278">
        <f>J156</f>
        <v>2490220.5999999996</v>
      </c>
      <c r="H191" s="278">
        <f>K156</f>
        <v>3748636.45</v>
      </c>
      <c r="I191" s="274">
        <f>L156</f>
        <v>4613706.4000000004</v>
      </c>
      <c r="J191" s="274">
        <f>M156</f>
        <v>5190419.7</v>
      </c>
      <c r="K191" s="274">
        <f>N156</f>
        <v>5767133</v>
      </c>
      <c r="L191" s="243"/>
      <c r="M191" s="243"/>
      <c r="N191" s="243"/>
      <c r="O191" s="243"/>
      <c r="P191" s="232"/>
      <c r="Q191" s="94" t="s">
        <v>130</v>
      </c>
      <c r="R191" s="81"/>
      <c r="S191" s="81"/>
      <c r="T191" s="81"/>
      <c r="U191" s="81"/>
      <c r="V191" s="81"/>
      <c r="W191" s="81"/>
      <c r="X191" s="81"/>
      <c r="Y191" s="82"/>
      <c r="Z191" s="82"/>
      <c r="AA191" s="82"/>
      <c r="AB191" s="82"/>
      <c r="AC191" s="82"/>
      <c r="AD191" s="82"/>
      <c r="AE191" s="82"/>
      <c r="AF191" s="82"/>
      <c r="AG191" s="82"/>
      <c r="AH191" s="82"/>
      <c r="AI191" s="82"/>
      <c r="AJ191" s="82"/>
      <c r="AK191" s="82"/>
      <c r="AL191" s="82"/>
      <c r="AM191" s="82"/>
      <c r="AN191" s="82"/>
    </row>
    <row r="192" spans="1:40" ht="23.7" customHeight="1" x14ac:dyDescent="0.25">
      <c r="A192" s="227"/>
      <c r="B192" s="230"/>
      <c r="C192" s="243"/>
      <c r="D192" s="243"/>
      <c r="E192" s="243"/>
      <c r="F192" s="276" t="s">
        <v>39</v>
      </c>
      <c r="G192" s="278">
        <f>-J173-J177</f>
        <v>2677800</v>
      </c>
      <c r="H192" s="278">
        <f>-K173-K177</f>
        <v>2931745.9112500004</v>
      </c>
      <c r="I192" s="274">
        <f>-L173-L177</f>
        <v>3201997.66</v>
      </c>
      <c r="J192" s="274">
        <f>-M173-M177</f>
        <v>3478690.4924999997</v>
      </c>
      <c r="K192" s="274">
        <f>-N173-N177</f>
        <v>3685183.3250000002</v>
      </c>
      <c r="L192" s="243"/>
      <c r="M192" s="243"/>
      <c r="N192" s="243"/>
      <c r="O192" s="243"/>
      <c r="P192" s="232"/>
      <c r="Q192" s="94" t="s">
        <v>130</v>
      </c>
      <c r="R192" s="81"/>
      <c r="S192" s="81"/>
      <c r="T192" s="81"/>
      <c r="U192" s="81"/>
      <c r="V192" s="81"/>
      <c r="W192" s="81"/>
      <c r="X192" s="81"/>
      <c r="Y192" s="82"/>
      <c r="Z192" s="82"/>
      <c r="AA192" s="82"/>
      <c r="AB192" s="82"/>
      <c r="AC192" s="82"/>
      <c r="AD192" s="82"/>
      <c r="AE192" s="82"/>
      <c r="AF192" s="82"/>
      <c r="AG192" s="82"/>
      <c r="AH192" s="82"/>
      <c r="AI192" s="82"/>
      <c r="AJ192" s="82"/>
      <c r="AK192" s="82"/>
      <c r="AL192" s="82"/>
      <c r="AM192" s="82"/>
      <c r="AN192" s="82"/>
    </row>
    <row r="193" spans="1:66" ht="23.7" customHeight="1" x14ac:dyDescent="0.25">
      <c r="A193" s="227"/>
      <c r="B193" s="230" t="s">
        <v>32</v>
      </c>
      <c r="C193" s="243"/>
      <c r="D193" s="243"/>
      <c r="E193" s="243"/>
      <c r="F193" s="276" t="str">
        <f>D178</f>
        <v>صافي الدخل</v>
      </c>
      <c r="G193" s="278">
        <f>J178</f>
        <v>-219579.40000000037</v>
      </c>
      <c r="H193" s="278">
        <f>K178</f>
        <v>789714.91963025427</v>
      </c>
      <c r="I193" s="274">
        <f>L178</f>
        <v>1389550.4769957196</v>
      </c>
      <c r="J193" s="274">
        <f>M178</f>
        <v>1694788.9948558032</v>
      </c>
      <c r="K193" s="274">
        <f>N178</f>
        <v>2070436.2347302893</v>
      </c>
      <c r="L193" s="243"/>
      <c r="M193" s="243"/>
      <c r="N193" s="243"/>
      <c r="O193" s="243"/>
      <c r="P193" s="232"/>
      <c r="Q193" s="94" t="s">
        <v>130</v>
      </c>
      <c r="R193" s="81"/>
      <c r="S193" s="81"/>
      <c r="T193" s="81"/>
      <c r="U193" s="81"/>
      <c r="V193" s="81"/>
      <c r="W193" s="81"/>
      <c r="X193" s="81"/>
      <c r="Y193" s="82"/>
      <c r="Z193" s="82"/>
      <c r="AA193" s="82"/>
      <c r="AB193" s="82"/>
      <c r="AC193" s="82"/>
      <c r="AD193" s="82"/>
      <c r="AE193" s="82"/>
      <c r="AF193" s="82"/>
      <c r="AG193" s="82"/>
      <c r="AH193" s="82"/>
      <c r="AI193" s="82"/>
      <c r="AJ193" s="82"/>
      <c r="AK193" s="82"/>
      <c r="AL193" s="82"/>
      <c r="AM193" s="82"/>
      <c r="AN193" s="82"/>
    </row>
    <row r="194" spans="1:66" ht="23.7" customHeight="1" x14ac:dyDescent="0.25">
      <c r="A194" s="227"/>
      <c r="B194" s="230" t="s">
        <v>32</v>
      </c>
      <c r="C194" s="243"/>
      <c r="D194" s="243"/>
      <c r="E194" s="243"/>
      <c r="F194" s="243"/>
      <c r="G194" s="243"/>
      <c r="H194" s="243"/>
      <c r="I194" s="258"/>
      <c r="J194" s="258"/>
      <c r="K194" s="258"/>
      <c r="L194" s="243"/>
      <c r="M194" s="243"/>
      <c r="N194" s="243"/>
      <c r="O194" s="243"/>
      <c r="P194" s="232"/>
      <c r="Q194" s="94" t="s">
        <v>130</v>
      </c>
      <c r="R194" s="81"/>
      <c r="S194" s="81"/>
      <c r="T194" s="81"/>
      <c r="U194" s="81"/>
      <c r="V194" s="81"/>
      <c r="W194" s="81"/>
      <c r="X194" s="81"/>
      <c r="Y194" s="82"/>
      <c r="Z194" s="82"/>
      <c r="AA194" s="82"/>
      <c r="AB194" s="82"/>
      <c r="AC194" s="82"/>
      <c r="AD194" s="82"/>
      <c r="AE194" s="82"/>
      <c r="AF194" s="82"/>
      <c r="AG194" s="82"/>
      <c r="AH194" s="82"/>
      <c r="AI194" s="82"/>
      <c r="AJ194" s="82"/>
      <c r="AK194" s="82"/>
      <c r="AL194" s="82"/>
      <c r="AM194" s="82"/>
      <c r="AN194" s="82"/>
    </row>
    <row r="195" spans="1:66" ht="23.7" customHeight="1" x14ac:dyDescent="0.25">
      <c r="A195" s="227"/>
      <c r="B195" s="230" t="s">
        <v>32</v>
      </c>
      <c r="C195" s="243"/>
      <c r="D195" s="243"/>
      <c r="E195" s="243"/>
      <c r="F195" s="243"/>
      <c r="G195" s="243"/>
      <c r="H195" s="243"/>
      <c r="I195" s="258"/>
      <c r="J195" s="258"/>
      <c r="K195" s="258"/>
      <c r="L195" s="243"/>
      <c r="M195" s="243"/>
      <c r="N195" s="243"/>
      <c r="O195" s="243"/>
      <c r="P195" s="232"/>
      <c r="Q195" s="94" t="s">
        <v>130</v>
      </c>
      <c r="R195" s="81"/>
      <c r="S195" s="81"/>
      <c r="T195" s="81"/>
      <c r="U195" s="81"/>
      <c r="V195" s="81"/>
      <c r="W195" s="81"/>
      <c r="X195" s="81"/>
      <c r="Y195" s="82"/>
      <c r="Z195" s="82"/>
      <c r="AA195" s="82"/>
      <c r="AB195" s="82"/>
      <c r="AC195" s="82"/>
      <c r="AD195" s="82"/>
      <c r="AE195" s="82"/>
      <c r="AF195" s="82"/>
      <c r="AG195" s="82"/>
      <c r="AH195" s="82"/>
      <c r="AI195" s="82"/>
      <c r="AJ195" s="82"/>
      <c r="AK195" s="82"/>
      <c r="AL195" s="82"/>
      <c r="AM195" s="82"/>
      <c r="AN195" s="82"/>
    </row>
    <row r="196" spans="1:66" ht="23.7" customHeight="1" x14ac:dyDescent="0.25">
      <c r="A196" s="227"/>
      <c r="B196" s="230" t="s">
        <v>32</v>
      </c>
      <c r="C196" s="243"/>
      <c r="D196" s="243"/>
      <c r="E196" s="243"/>
      <c r="F196" s="243"/>
      <c r="G196" s="243"/>
      <c r="H196" s="243"/>
      <c r="I196" s="258"/>
      <c r="J196" s="243"/>
      <c r="K196" s="243"/>
      <c r="L196" s="243"/>
      <c r="M196" s="243"/>
      <c r="N196" s="243"/>
      <c r="O196" s="243"/>
      <c r="P196" s="232"/>
      <c r="Q196" s="94" t="s">
        <v>130</v>
      </c>
      <c r="R196" s="81"/>
      <c r="S196" s="81"/>
      <c r="T196" s="81"/>
      <c r="U196" s="81"/>
      <c r="V196" s="81"/>
      <c r="W196" s="81"/>
      <c r="X196" s="81"/>
      <c r="Y196" s="82"/>
      <c r="Z196" s="82"/>
      <c r="AA196" s="82"/>
      <c r="AB196" s="82"/>
      <c r="AC196" s="82"/>
      <c r="AD196" s="82"/>
      <c r="AE196" s="82"/>
      <c r="AF196" s="82"/>
      <c r="AG196" s="82"/>
      <c r="AH196" s="82"/>
      <c r="AI196" s="82"/>
      <c r="AJ196" s="82"/>
      <c r="AK196" s="82"/>
      <c r="AL196" s="82"/>
      <c r="AM196" s="82"/>
      <c r="AN196" s="82"/>
    </row>
    <row r="197" spans="1:66" ht="23.7" customHeight="1" x14ac:dyDescent="0.25">
      <c r="A197" s="227"/>
      <c r="B197" s="230" t="s">
        <v>32</v>
      </c>
      <c r="C197" s="227"/>
      <c r="D197" s="243"/>
      <c r="E197" s="243"/>
      <c r="F197" s="243"/>
      <c r="G197" s="243"/>
      <c r="H197" s="243"/>
      <c r="I197" s="258"/>
      <c r="J197" s="243"/>
      <c r="K197" s="243"/>
      <c r="L197" s="243"/>
      <c r="M197" s="243"/>
      <c r="N197" s="243"/>
      <c r="O197" s="243"/>
      <c r="P197" s="232"/>
      <c r="Q197" s="94" t="s">
        <v>130</v>
      </c>
      <c r="R197" s="81"/>
      <c r="S197" s="81"/>
      <c r="T197" s="81"/>
      <c r="U197" s="81"/>
      <c r="V197" s="81"/>
      <c r="W197" s="81"/>
      <c r="X197" s="81"/>
      <c r="Y197" s="82"/>
      <c r="Z197" s="82"/>
      <c r="AA197" s="82"/>
      <c r="AB197" s="82"/>
      <c r="AC197" s="82"/>
      <c r="AD197" s="82"/>
      <c r="AE197" s="82"/>
      <c r="AF197" s="82"/>
      <c r="AG197" s="82"/>
      <c r="AH197" s="82"/>
      <c r="AI197" s="82"/>
      <c r="AJ197" s="82"/>
      <c r="AK197" s="82"/>
      <c r="AL197" s="82"/>
      <c r="AM197" s="82"/>
      <c r="AN197" s="82"/>
    </row>
    <row r="198" spans="1:66" ht="23.7" customHeight="1" x14ac:dyDescent="0.25">
      <c r="A198" s="227"/>
      <c r="B198" s="230" t="s">
        <v>32</v>
      </c>
      <c r="C198" s="227"/>
      <c r="D198" s="243"/>
      <c r="E198" s="243"/>
      <c r="F198" s="243"/>
      <c r="G198" s="243"/>
      <c r="H198" s="243"/>
      <c r="I198" s="258"/>
      <c r="J198" s="243"/>
      <c r="K198" s="243"/>
      <c r="L198" s="243"/>
      <c r="M198" s="243"/>
      <c r="N198" s="243"/>
      <c r="O198" s="243"/>
      <c r="P198" s="232"/>
      <c r="Q198" s="94" t="s">
        <v>130</v>
      </c>
      <c r="R198" s="81"/>
      <c r="S198" s="81"/>
      <c r="T198" s="81"/>
      <c r="U198" s="81"/>
      <c r="V198" s="81"/>
      <c r="W198" s="81"/>
      <c r="X198" s="81"/>
      <c r="Y198" s="82"/>
      <c r="Z198" s="82"/>
      <c r="AA198" s="82"/>
      <c r="AB198" s="82"/>
      <c r="AC198" s="82"/>
      <c r="AD198" s="82"/>
      <c r="AE198" s="82"/>
      <c r="AF198" s="82"/>
      <c r="AG198" s="82"/>
      <c r="AH198" s="82"/>
      <c r="AI198" s="82"/>
      <c r="AJ198" s="82"/>
      <c r="AK198" s="82"/>
      <c r="AL198" s="82"/>
      <c r="AM198" s="82"/>
      <c r="AN198" s="82"/>
    </row>
    <row r="199" spans="1:66" ht="23.7" customHeight="1" x14ac:dyDescent="0.25">
      <c r="A199" s="227"/>
      <c r="B199" s="230" t="s">
        <v>32</v>
      </c>
      <c r="C199" s="227"/>
      <c r="D199" s="243"/>
      <c r="E199" s="243"/>
      <c r="F199" s="243"/>
      <c r="G199" s="243"/>
      <c r="H199" s="243"/>
      <c r="I199" s="258"/>
      <c r="J199" s="243"/>
      <c r="K199" s="243"/>
      <c r="L199" s="243"/>
      <c r="M199" s="243"/>
      <c r="N199" s="243"/>
      <c r="O199" s="243"/>
      <c r="P199" s="232"/>
      <c r="Q199" s="94" t="s">
        <v>130</v>
      </c>
      <c r="R199" s="81"/>
      <c r="S199" s="81"/>
      <c r="T199" s="81"/>
      <c r="U199" s="81"/>
      <c r="V199" s="81"/>
      <c r="W199" s="81"/>
      <c r="X199" s="81"/>
      <c r="Y199" s="82"/>
      <c r="Z199" s="82"/>
      <c r="AA199" s="82"/>
      <c r="AB199" s="82"/>
      <c r="AC199" s="82"/>
      <c r="AD199" s="82"/>
      <c r="AE199" s="82"/>
      <c r="AF199" s="82"/>
      <c r="AG199" s="82"/>
      <c r="AH199" s="82"/>
      <c r="AI199" s="82"/>
      <c r="AJ199" s="82"/>
      <c r="AK199" s="82"/>
      <c r="AL199" s="82"/>
      <c r="AM199" s="82"/>
      <c r="AN199" s="82"/>
    </row>
    <row r="200" spans="1:66" ht="15.6" x14ac:dyDescent="0.25">
      <c r="A200" s="227"/>
      <c r="B200" s="230"/>
      <c r="C200" s="227"/>
      <c r="D200" s="227"/>
      <c r="E200" s="77"/>
      <c r="F200" s="77"/>
      <c r="G200" s="77"/>
      <c r="H200" s="77"/>
      <c r="I200" s="279"/>
      <c r="J200" s="280"/>
      <c r="K200" s="280"/>
      <c r="L200" s="280"/>
      <c r="M200" s="280"/>
      <c r="N200" s="280"/>
      <c r="O200" s="272"/>
      <c r="P200" s="232"/>
      <c r="Q200" s="94" t="s">
        <v>130</v>
      </c>
      <c r="R200" s="81"/>
      <c r="S200" s="81"/>
      <c r="T200" s="81"/>
      <c r="U200" s="81"/>
      <c r="V200" s="81"/>
      <c r="W200" s="81"/>
      <c r="X200" s="81"/>
      <c r="Y200" s="82"/>
      <c r="Z200" s="82"/>
      <c r="AA200" s="82"/>
      <c r="AB200" s="82"/>
      <c r="AC200" s="82"/>
      <c r="AD200" s="82"/>
      <c r="AE200" s="82"/>
      <c r="AF200" s="82"/>
      <c r="AG200" s="82"/>
      <c r="AH200" s="82"/>
      <c r="AI200" s="82"/>
      <c r="AJ200" s="82"/>
      <c r="AK200" s="82"/>
      <c r="AL200" s="82"/>
      <c r="AM200" s="82"/>
      <c r="AN200" s="82"/>
    </row>
    <row r="201" spans="1:66" s="67" customFormat="1" ht="27.75" customHeight="1" x14ac:dyDescent="0.25">
      <c r="A201" s="231"/>
      <c r="B201" s="230" t="s">
        <v>32</v>
      </c>
      <c r="C201" s="231"/>
      <c r="D201" s="375" t="s">
        <v>196</v>
      </c>
      <c r="E201" s="375"/>
      <c r="F201" s="375"/>
      <c r="G201" s="375"/>
      <c r="H201" s="367"/>
      <c r="I201" s="281" t="s">
        <v>83</v>
      </c>
      <c r="J201" s="222">
        <f>J94</f>
        <v>2024</v>
      </c>
      <c r="K201" s="222">
        <f>K94</f>
        <v>2025</v>
      </c>
      <c r="L201" s="222">
        <f>L94</f>
        <v>2026</v>
      </c>
      <c r="M201" s="222">
        <f>M94</f>
        <v>2027</v>
      </c>
      <c r="N201" s="222">
        <f>N94</f>
        <v>2028</v>
      </c>
      <c r="O201" s="272"/>
      <c r="P201" s="258"/>
      <c r="Q201" s="94" t="s">
        <v>130</v>
      </c>
      <c r="R201" s="99"/>
      <c r="S201" s="99"/>
      <c r="T201" s="81"/>
      <c r="U201" s="99"/>
      <c r="V201" s="99"/>
      <c r="W201" s="99"/>
      <c r="X201" s="99"/>
      <c r="Y201" s="99"/>
      <c r="Z201" s="99"/>
      <c r="AA201" s="99"/>
      <c r="AB201" s="99"/>
      <c r="AC201" s="99"/>
      <c r="AD201" s="99"/>
      <c r="AE201" s="99"/>
      <c r="AF201" s="99"/>
      <c r="AG201" s="99"/>
      <c r="AH201" s="99"/>
      <c r="AI201" s="99"/>
      <c r="AJ201" s="99"/>
      <c r="AK201" s="99"/>
      <c r="AL201" s="99"/>
      <c r="AM201" s="99"/>
      <c r="AN201" s="99"/>
      <c r="AO201" s="89"/>
      <c r="AP201" s="89"/>
      <c r="AQ201" s="89"/>
      <c r="AR201" s="89"/>
      <c r="AS201" s="89"/>
      <c r="AT201" s="89"/>
      <c r="AU201" s="89"/>
      <c r="AV201" s="89"/>
      <c r="AW201" s="89"/>
      <c r="AX201" s="89"/>
      <c r="AY201" s="89"/>
      <c r="AZ201" s="89"/>
      <c r="BA201" s="89"/>
      <c r="BB201" s="89"/>
      <c r="BC201" s="89"/>
      <c r="BD201" s="89"/>
      <c r="BE201" s="89"/>
      <c r="BF201" s="89"/>
      <c r="BG201" s="89"/>
      <c r="BH201" s="89"/>
      <c r="BI201" s="89"/>
      <c r="BJ201" s="89"/>
      <c r="BK201" s="89"/>
      <c r="BL201" s="89"/>
      <c r="BM201" s="89"/>
      <c r="BN201" s="89"/>
    </row>
    <row r="202" spans="1:66" ht="15.6" x14ac:dyDescent="0.25">
      <c r="A202" s="227"/>
      <c r="B202" s="230" t="s">
        <v>32</v>
      </c>
      <c r="C202" s="227"/>
      <c r="D202" s="77" t="s">
        <v>45</v>
      </c>
      <c r="E202" s="227"/>
      <c r="F202" s="227"/>
      <c r="G202" s="227"/>
      <c r="H202" s="227"/>
      <c r="I202" s="231"/>
      <c r="J202" s="227"/>
      <c r="K202" s="227"/>
      <c r="L202" s="227"/>
      <c r="M202" s="227"/>
      <c r="N202" s="227"/>
      <c r="O202" s="272"/>
      <c r="P202" s="232"/>
      <c r="Q202" s="94" t="s">
        <v>130</v>
      </c>
      <c r="R202" s="81"/>
      <c r="S202" s="81"/>
      <c r="T202" s="81"/>
      <c r="U202" s="81"/>
      <c r="V202" s="81"/>
      <c r="W202" s="81"/>
      <c r="X202" s="81"/>
      <c r="Y202" s="82"/>
      <c r="Z202" s="82"/>
      <c r="AA202" s="82"/>
      <c r="AB202" s="82"/>
      <c r="AC202" s="82"/>
      <c r="AD202" s="82"/>
      <c r="AE202" s="82"/>
      <c r="AF202" s="82"/>
      <c r="AG202" s="82"/>
      <c r="AH202" s="82"/>
      <c r="AI202" s="82"/>
      <c r="AJ202" s="82"/>
      <c r="AK202" s="82"/>
      <c r="AL202" s="82"/>
      <c r="AM202" s="82"/>
      <c r="AN202" s="82"/>
    </row>
    <row r="203" spans="1:66" ht="15.6" x14ac:dyDescent="0.25">
      <c r="A203" s="227"/>
      <c r="B203" s="230"/>
      <c r="C203" s="227"/>
      <c r="D203" s="227" t="s">
        <v>58</v>
      </c>
      <c r="E203" s="227"/>
      <c r="F203" s="227"/>
      <c r="G203" s="227"/>
      <c r="H203" s="227"/>
      <c r="I203" s="282">
        <f t="shared" ref="I203:N203" si="9">-I204-I206-I210-I209+I215+I216+I220+I223+I224-I205</f>
        <v>1050139.6500000001</v>
      </c>
      <c r="J203" s="259">
        <f t="shared" si="9"/>
        <v>1016740.9668825255</v>
      </c>
      <c r="K203" s="259">
        <f t="shared" si="9"/>
        <v>1649583.1502928287</v>
      </c>
      <c r="L203" s="259">
        <f t="shared" si="9"/>
        <v>2915149.5349531323</v>
      </c>
      <c r="M203" s="259">
        <f t="shared" si="9"/>
        <v>4505513.9982245471</v>
      </c>
      <c r="N203" s="259">
        <f t="shared" si="9"/>
        <v>6466098.9289959613</v>
      </c>
      <c r="O203" s="272"/>
      <c r="P203" s="232"/>
      <c r="Q203" s="94" t="str">
        <f>IF(SUM(I203:O203)=0,"-","Yes")</f>
        <v>Yes</v>
      </c>
      <c r="R203" s="81"/>
      <c r="S203" s="81"/>
      <c r="T203" s="81"/>
      <c r="U203" s="81"/>
      <c r="V203" s="81"/>
      <c r="W203" s="81"/>
      <c r="X203" s="81"/>
      <c r="Y203" s="82"/>
      <c r="Z203" s="82"/>
      <c r="AA203" s="82"/>
      <c r="AB203" s="82"/>
      <c r="AC203" s="82"/>
      <c r="AD203" s="82"/>
      <c r="AE203" s="82"/>
      <c r="AF203" s="82"/>
      <c r="AG203" s="82"/>
      <c r="AH203" s="82"/>
      <c r="AI203" s="82"/>
      <c r="AJ203" s="82"/>
      <c r="AK203" s="82"/>
      <c r="AL203" s="82"/>
      <c r="AM203" s="82"/>
      <c r="AN203" s="82"/>
    </row>
    <row r="204" spans="1:66" ht="15.6" x14ac:dyDescent="0.25">
      <c r="A204" s="227"/>
      <c r="B204" s="230"/>
      <c r="C204" s="227"/>
      <c r="D204" s="227" t="s">
        <v>46</v>
      </c>
      <c r="E204" s="227"/>
      <c r="F204" s="227"/>
      <c r="G204" s="227"/>
      <c r="H204" s="227"/>
      <c r="I204" s="283"/>
      <c r="J204" s="259">
        <f>'ادخال  التوقعات المالية'!D138*$U$1</f>
        <v>239870.11111111112</v>
      </c>
      <c r="K204" s="259">
        <f>'ادخال  التوقعات المالية'!E138*$U$1</f>
        <v>361108.94444444444</v>
      </c>
      <c r="L204" s="259">
        <f>'ادخال  التوقعات المالية'!F138*$U$1</f>
        <v>444441.77777777775</v>
      </c>
      <c r="M204" s="259">
        <f>'ادخال  التوقعات المالية'!G138*$U$1</f>
        <v>499997</v>
      </c>
      <c r="N204" s="259">
        <f>'ادخال  التوقعات المالية'!H138*$U$1</f>
        <v>555552.22222222225</v>
      </c>
      <c r="O204" s="272"/>
      <c r="P204" s="232"/>
      <c r="Q204" s="94" t="str">
        <f>IF(SUM(I204:O204)=0,"-","Yes")</f>
        <v>Yes</v>
      </c>
      <c r="R204" s="81"/>
      <c r="S204" s="81"/>
      <c r="T204" s="81"/>
      <c r="U204" s="81"/>
      <c r="V204" s="81"/>
      <c r="W204" s="81"/>
      <c r="X204" s="81"/>
      <c r="Y204" s="82"/>
      <c r="Z204" s="82"/>
      <c r="AA204" s="82"/>
      <c r="AB204" s="82"/>
      <c r="AC204" s="82"/>
      <c r="AD204" s="82"/>
      <c r="AE204" s="82"/>
      <c r="AF204" s="82"/>
      <c r="AG204" s="82"/>
      <c r="AH204" s="82"/>
      <c r="AI204" s="82"/>
      <c r="AJ204" s="82"/>
      <c r="AK204" s="82"/>
      <c r="AL204" s="82"/>
      <c r="AM204" s="82"/>
      <c r="AN204" s="82"/>
    </row>
    <row r="205" spans="1:66" ht="15.6" x14ac:dyDescent="0.25">
      <c r="A205" s="227"/>
      <c r="B205" s="230"/>
      <c r="C205" s="227"/>
      <c r="D205" s="227" t="s">
        <v>75</v>
      </c>
      <c r="E205" s="227"/>
      <c r="F205" s="227"/>
      <c r="G205" s="227"/>
      <c r="H205" s="227"/>
      <c r="I205" s="283">
        <f>'ادخال  التوقعات المالية'!D158*$U$1</f>
        <v>450000</v>
      </c>
      <c r="J205" s="259">
        <f>'ادخال  التوقعات المالية'!D121*$U$1</f>
        <v>450000</v>
      </c>
      <c r="K205" s="259">
        <f>'ادخال  التوقعات المالية'!E121*$U$1</f>
        <v>450000</v>
      </c>
      <c r="L205" s="259">
        <f>'ادخال  التوقعات المالية'!F121*$U$1</f>
        <v>450000</v>
      </c>
      <c r="M205" s="259">
        <f>'ادخال  التوقعات المالية'!G121*$U$1</f>
        <v>450000</v>
      </c>
      <c r="N205" s="259">
        <f>'ادخال  التوقعات المالية'!H121*$U$1</f>
        <v>450000</v>
      </c>
      <c r="O205" s="272"/>
      <c r="P205" s="232"/>
      <c r="Q205" s="94" t="str">
        <f>IF(SUM(I205:O205)=0,"-","Yes")</f>
        <v>Yes</v>
      </c>
      <c r="R205" s="81"/>
      <c r="S205" s="81"/>
      <c r="T205" s="81"/>
      <c r="U205" s="81"/>
      <c r="V205" s="81"/>
      <c r="W205" s="81"/>
      <c r="X205" s="81"/>
      <c r="Y205" s="82"/>
      <c r="Z205" s="82"/>
      <c r="AA205" s="82"/>
      <c r="AB205" s="82"/>
      <c r="AC205" s="82"/>
      <c r="AD205" s="82"/>
      <c r="AE205" s="82"/>
      <c r="AF205" s="82"/>
      <c r="AG205" s="82"/>
      <c r="AH205" s="82"/>
      <c r="AI205" s="82"/>
      <c r="AJ205" s="82"/>
      <c r="AK205" s="82"/>
      <c r="AL205" s="82"/>
      <c r="AM205" s="82"/>
      <c r="AN205" s="82"/>
    </row>
    <row r="206" spans="1:66" ht="15.6" x14ac:dyDescent="0.25">
      <c r="A206" s="227"/>
      <c r="B206" s="230"/>
      <c r="C206" s="227"/>
      <c r="D206" s="227" t="s">
        <v>47</v>
      </c>
      <c r="E206" s="227"/>
      <c r="F206" s="227"/>
      <c r="G206" s="227"/>
      <c r="H206" s="227"/>
      <c r="I206" s="283">
        <f>'ادخال  التوقعات المالية'!D137*$U$1</f>
        <v>456860.35</v>
      </c>
      <c r="J206" s="259">
        <f>'ادخال  التوقعات المالية'!D137*$U$1</f>
        <v>456860.35</v>
      </c>
      <c r="K206" s="259">
        <f>'ادخال  التوقعات المالية'!E137*$U$1</f>
        <v>687831.13749999995</v>
      </c>
      <c r="L206" s="259">
        <f>'ادخال  التوقعات المالية'!F137*$U$1</f>
        <v>846561.4</v>
      </c>
      <c r="M206" s="259">
        <f>'ادخال  التوقعات المالية'!G137*$U$1</f>
        <v>952381.57499999995</v>
      </c>
      <c r="N206" s="259">
        <f>'ادخال  التوقعات المالية'!H137*$U$1</f>
        <v>1058201.75</v>
      </c>
      <c r="O206" s="272"/>
      <c r="P206" s="232"/>
      <c r="Q206" s="94" t="str">
        <f>IF(SUM(I206:O206)=0,"-","Yes")</f>
        <v>Yes</v>
      </c>
      <c r="R206" s="81"/>
      <c r="S206" s="81"/>
      <c r="T206" s="81"/>
      <c r="U206" s="81"/>
      <c r="V206" s="81"/>
      <c r="W206" s="81"/>
      <c r="X206" s="81"/>
      <c r="Y206" s="82"/>
      <c r="Z206" s="82"/>
      <c r="AA206" s="82"/>
      <c r="AB206" s="82"/>
      <c r="AC206" s="82"/>
      <c r="AD206" s="82"/>
      <c r="AE206" s="82"/>
      <c r="AF206" s="82"/>
      <c r="AG206" s="82"/>
      <c r="AH206" s="82"/>
      <c r="AI206" s="82"/>
      <c r="AJ206" s="82"/>
      <c r="AK206" s="82"/>
      <c r="AL206" s="82"/>
      <c r="AM206" s="82"/>
      <c r="AN206" s="82"/>
    </row>
    <row r="207" spans="1:66" ht="15.6" x14ac:dyDescent="0.25">
      <c r="A207" s="227"/>
      <c r="B207" s="230"/>
      <c r="C207" s="227"/>
      <c r="D207" s="284" t="s">
        <v>51</v>
      </c>
      <c r="E207" s="284"/>
      <c r="F207" s="284"/>
      <c r="G207" s="284"/>
      <c r="H207" s="284"/>
      <c r="I207" s="285">
        <f t="shared" ref="I207:N207" si="10">SUM(I203:I206)</f>
        <v>1957000</v>
      </c>
      <c r="J207" s="286">
        <f t="shared" si="10"/>
        <v>2163471.4279936366</v>
      </c>
      <c r="K207" s="286">
        <f t="shared" si="10"/>
        <v>3148523.2322372729</v>
      </c>
      <c r="L207" s="286">
        <f t="shared" si="10"/>
        <v>4656152.7127309106</v>
      </c>
      <c r="M207" s="286">
        <f t="shared" si="10"/>
        <v>6407892.5732245473</v>
      </c>
      <c r="N207" s="286">
        <f t="shared" si="10"/>
        <v>8529852.9012181833</v>
      </c>
      <c r="O207" s="272"/>
      <c r="P207" s="232"/>
      <c r="Q207" s="94" t="str">
        <f>IF(SUM(I207:O207)=0,"-","Yes")</f>
        <v>Yes</v>
      </c>
      <c r="R207" s="81"/>
      <c r="S207" s="81"/>
      <c r="T207" s="81"/>
      <c r="U207" s="81"/>
      <c r="V207" s="81"/>
      <c r="W207" s="81"/>
      <c r="X207" s="81"/>
      <c r="Y207" s="82"/>
      <c r="Z207" s="82"/>
      <c r="AA207" s="82"/>
      <c r="AB207" s="82"/>
      <c r="AC207" s="82"/>
      <c r="AD207" s="82"/>
      <c r="AE207" s="82"/>
      <c r="AF207" s="82"/>
      <c r="AG207" s="82"/>
      <c r="AH207" s="82"/>
      <c r="AI207" s="82"/>
      <c r="AJ207" s="82"/>
      <c r="AK207" s="82"/>
      <c r="AL207" s="82"/>
      <c r="AM207" s="82"/>
      <c r="AN207" s="82"/>
    </row>
    <row r="208" spans="1:66" ht="15.6" x14ac:dyDescent="0.25">
      <c r="A208" s="227"/>
      <c r="B208" s="230"/>
      <c r="C208" s="227"/>
      <c r="D208" s="77" t="s">
        <v>48</v>
      </c>
      <c r="E208" s="227"/>
      <c r="F208" s="227"/>
      <c r="G208" s="227"/>
      <c r="H208" s="227"/>
      <c r="I208" s="283"/>
      <c r="J208" s="259"/>
      <c r="K208" s="259"/>
      <c r="L208" s="259"/>
      <c r="M208" s="259"/>
      <c r="N208" s="259"/>
      <c r="O208" s="272"/>
      <c r="P208" s="232"/>
      <c r="Q208" s="94" t="s">
        <v>130</v>
      </c>
      <c r="R208" s="81"/>
      <c r="S208" s="81"/>
      <c r="T208" s="81"/>
      <c r="U208" s="81"/>
      <c r="V208" s="81"/>
      <c r="W208" s="81"/>
      <c r="X208" s="81"/>
      <c r="Y208" s="82"/>
      <c r="Z208" s="82"/>
      <c r="AA208" s="82"/>
      <c r="AB208" s="82"/>
      <c r="AC208" s="82"/>
      <c r="AD208" s="82"/>
      <c r="AE208" s="82"/>
      <c r="AF208" s="82"/>
      <c r="AG208" s="82"/>
      <c r="AH208" s="82"/>
      <c r="AI208" s="82"/>
      <c r="AJ208" s="82"/>
      <c r="AK208" s="82"/>
      <c r="AL208" s="82"/>
      <c r="AM208" s="82"/>
      <c r="AN208" s="82"/>
    </row>
    <row r="209" spans="1:40" ht="15.6" x14ac:dyDescent="0.25">
      <c r="A209" s="227"/>
      <c r="B209" s="230"/>
      <c r="C209" s="227"/>
      <c r="D209" s="227" t="s">
        <v>82</v>
      </c>
      <c r="E209" s="227"/>
      <c r="F209" s="227"/>
      <c r="G209" s="227"/>
      <c r="H209" s="227"/>
      <c r="I209" s="283">
        <f>'ادخال  التوقعات المالية'!D155*$U$1</f>
        <v>443000</v>
      </c>
      <c r="J209" s="259">
        <f>I132</f>
        <v>443000</v>
      </c>
      <c r="K209" s="259">
        <f>J209</f>
        <v>443000</v>
      </c>
      <c r="L209" s="259">
        <f>K209</f>
        <v>443000</v>
      </c>
      <c r="M209" s="259">
        <f>L209</f>
        <v>443000</v>
      </c>
      <c r="N209" s="259">
        <f>M209</f>
        <v>443000</v>
      </c>
      <c r="O209" s="272"/>
      <c r="P209" s="232"/>
      <c r="Q209" s="94" t="str">
        <f>IF(SUM(I209:O209)=0,"-","Yes")</f>
        <v>Yes</v>
      </c>
      <c r="R209" s="81"/>
      <c r="S209" s="81"/>
      <c r="T209" s="81"/>
      <c r="U209" s="81"/>
      <c r="V209" s="81"/>
      <c r="W209" s="81"/>
      <c r="X209" s="81"/>
      <c r="Y209" s="82"/>
      <c r="Z209" s="82"/>
      <c r="AA209" s="82"/>
      <c r="AB209" s="82"/>
      <c r="AC209" s="82"/>
      <c r="AD209" s="82"/>
      <c r="AE209" s="82"/>
      <c r="AF209" s="82"/>
      <c r="AG209" s="82"/>
      <c r="AH209" s="82"/>
      <c r="AI209" s="82"/>
      <c r="AJ209" s="82"/>
      <c r="AK209" s="82"/>
      <c r="AL209" s="82"/>
      <c r="AM209" s="82"/>
      <c r="AN209" s="82"/>
    </row>
    <row r="210" spans="1:40" ht="15.6" x14ac:dyDescent="0.25">
      <c r="A210" s="227"/>
      <c r="B210" s="230"/>
      <c r="C210" s="227"/>
      <c r="D210" s="227" t="s">
        <v>52</v>
      </c>
      <c r="E210" s="227"/>
      <c r="F210" s="227"/>
      <c r="G210" s="227"/>
      <c r="H210" s="227"/>
      <c r="I210" s="283"/>
      <c r="J210" s="259">
        <f>SUM($J$172:J172)</f>
        <v>-89800</v>
      </c>
      <c r="K210" s="259">
        <f>SUM($J$172:K172)</f>
        <v>-179600</v>
      </c>
      <c r="L210" s="259">
        <f>SUM($J$172:L172)</f>
        <v>-269400</v>
      </c>
      <c r="M210" s="259">
        <f>SUM($J$172:M172)</f>
        <v>-356200</v>
      </c>
      <c r="N210" s="259">
        <f>SUM($J$172:N172)</f>
        <v>-443000</v>
      </c>
      <c r="O210" s="272"/>
      <c r="P210" s="232"/>
      <c r="Q210" s="94" t="str">
        <f>IF(SUM(I210:O210)=0,"-","Yes")</f>
        <v>Yes</v>
      </c>
      <c r="R210" s="81"/>
      <c r="S210" s="81"/>
      <c r="T210" s="81"/>
      <c r="U210" s="81"/>
      <c r="V210" s="81"/>
      <c r="W210" s="81"/>
      <c r="X210" s="81"/>
      <c r="Y210" s="82"/>
      <c r="Z210" s="82"/>
      <c r="AA210" s="82"/>
      <c r="AB210" s="82"/>
      <c r="AC210" s="82"/>
      <c r="AD210" s="82"/>
      <c r="AE210" s="82"/>
      <c r="AF210" s="82"/>
      <c r="AG210" s="82"/>
      <c r="AH210" s="82"/>
      <c r="AI210" s="82"/>
      <c r="AJ210" s="82"/>
      <c r="AK210" s="82"/>
      <c r="AL210" s="82"/>
      <c r="AM210" s="82"/>
      <c r="AN210" s="82"/>
    </row>
    <row r="211" spans="1:40" ht="15.6" x14ac:dyDescent="0.25">
      <c r="A211" s="227"/>
      <c r="B211" s="230"/>
      <c r="C211" s="227"/>
      <c r="D211" s="284" t="s">
        <v>49</v>
      </c>
      <c r="E211" s="284"/>
      <c r="F211" s="284"/>
      <c r="G211" s="284"/>
      <c r="H211" s="284"/>
      <c r="I211" s="285">
        <f t="shared" ref="I211:N211" si="11">I209+I210</f>
        <v>443000</v>
      </c>
      <c r="J211" s="286">
        <f t="shared" si="11"/>
        <v>353200</v>
      </c>
      <c r="K211" s="286">
        <f t="shared" si="11"/>
        <v>263400</v>
      </c>
      <c r="L211" s="286">
        <f t="shared" si="11"/>
        <v>173600</v>
      </c>
      <c r="M211" s="286">
        <f t="shared" si="11"/>
        <v>86800</v>
      </c>
      <c r="N211" s="286">
        <f t="shared" si="11"/>
        <v>0</v>
      </c>
      <c r="O211" s="272"/>
      <c r="P211" s="232"/>
      <c r="Q211" s="94" t="str">
        <f>IF(SUM(I211:O211)=0,"-","Yes")</f>
        <v>Yes</v>
      </c>
      <c r="R211" s="81"/>
      <c r="S211" s="81"/>
      <c r="T211" s="81"/>
      <c r="U211" s="81"/>
      <c r="V211" s="81"/>
      <c r="W211" s="81"/>
      <c r="X211" s="81"/>
      <c r="Y211" s="82"/>
      <c r="Z211" s="82"/>
      <c r="AA211" s="82"/>
      <c r="AB211" s="82"/>
      <c r="AC211" s="82"/>
      <c r="AD211" s="82"/>
      <c r="AE211" s="82"/>
      <c r="AF211" s="82"/>
      <c r="AG211" s="82"/>
      <c r="AH211" s="82"/>
      <c r="AI211" s="82"/>
      <c r="AJ211" s="82"/>
      <c r="AK211" s="82"/>
      <c r="AL211" s="82"/>
      <c r="AM211" s="82"/>
      <c r="AN211" s="82"/>
    </row>
    <row r="212" spans="1:40" ht="16.2" thickBot="1" x14ac:dyDescent="0.3">
      <c r="A212" s="227"/>
      <c r="B212" s="230"/>
      <c r="C212" s="227"/>
      <c r="D212" s="287" t="s">
        <v>50</v>
      </c>
      <c r="E212" s="287"/>
      <c r="F212" s="287"/>
      <c r="G212" s="287"/>
      <c r="H212" s="287"/>
      <c r="I212" s="288">
        <f t="shared" ref="I212:N212" si="12">I207+I211</f>
        <v>2400000</v>
      </c>
      <c r="J212" s="224">
        <f t="shared" si="12"/>
        <v>2516671.4279936366</v>
      </c>
      <c r="K212" s="224">
        <f t="shared" si="12"/>
        <v>3411923.2322372729</v>
      </c>
      <c r="L212" s="224">
        <f t="shared" si="12"/>
        <v>4829752.7127309106</v>
      </c>
      <c r="M212" s="224">
        <f t="shared" si="12"/>
        <v>6494692.5732245473</v>
      </c>
      <c r="N212" s="224">
        <f t="shared" si="12"/>
        <v>8529852.9012181833</v>
      </c>
      <c r="O212" s="272"/>
      <c r="P212" s="232"/>
      <c r="Q212" s="94" t="str">
        <f>IF(SUM(I212:O212)=0,"-","Yes")</f>
        <v>Yes</v>
      </c>
      <c r="R212" s="81"/>
      <c r="S212" s="81"/>
      <c r="T212" s="81"/>
      <c r="U212" s="81"/>
      <c r="V212" s="81"/>
      <c r="W212" s="81"/>
      <c r="X212" s="81"/>
      <c r="Y212" s="82"/>
      <c r="Z212" s="82"/>
      <c r="AA212" s="82"/>
      <c r="AB212" s="82"/>
      <c r="AC212" s="82"/>
      <c r="AD212" s="82"/>
      <c r="AE212" s="82"/>
      <c r="AF212" s="82"/>
      <c r="AG212" s="82"/>
      <c r="AH212" s="82"/>
      <c r="AI212" s="82"/>
      <c r="AJ212" s="82"/>
      <c r="AK212" s="82"/>
      <c r="AL212" s="82"/>
      <c r="AM212" s="82"/>
      <c r="AN212" s="82"/>
    </row>
    <row r="213" spans="1:40" ht="15.6" x14ac:dyDescent="0.25">
      <c r="A213" s="227"/>
      <c r="B213" s="230"/>
      <c r="C213" s="227"/>
      <c r="D213" s="227"/>
      <c r="E213" s="227"/>
      <c r="F213" s="227"/>
      <c r="G213" s="227"/>
      <c r="H213" s="227"/>
      <c r="I213" s="283"/>
      <c r="J213" s="227"/>
      <c r="K213" s="227"/>
      <c r="L213" s="227"/>
      <c r="M213" s="227"/>
      <c r="N213" s="227"/>
      <c r="O213" s="272"/>
      <c r="P213" s="232"/>
      <c r="Q213" s="94" t="s">
        <v>130</v>
      </c>
      <c r="R213" s="81"/>
      <c r="S213" s="81"/>
      <c r="T213" s="81"/>
      <c r="U213" s="81"/>
      <c r="V213" s="81"/>
      <c r="W213" s="81"/>
      <c r="X213" s="81"/>
      <c r="Y213" s="82"/>
      <c r="Z213" s="82"/>
      <c r="AA213" s="82"/>
      <c r="AB213" s="82"/>
      <c r="AC213" s="82"/>
      <c r="AD213" s="82"/>
      <c r="AE213" s="82"/>
      <c r="AF213" s="82"/>
      <c r="AG213" s="82"/>
      <c r="AH213" s="82"/>
      <c r="AI213" s="82"/>
      <c r="AJ213" s="82"/>
      <c r="AK213" s="82"/>
      <c r="AL213" s="82"/>
      <c r="AM213" s="82"/>
      <c r="AN213" s="82"/>
    </row>
    <row r="214" spans="1:40" ht="15.6" x14ac:dyDescent="0.25">
      <c r="A214" s="227"/>
      <c r="B214" s="230"/>
      <c r="C214" s="227"/>
      <c r="D214" s="77" t="s">
        <v>53</v>
      </c>
      <c r="E214" s="227"/>
      <c r="F214" s="227"/>
      <c r="G214" s="227"/>
      <c r="H214" s="227"/>
      <c r="I214" s="283"/>
      <c r="J214" s="227"/>
      <c r="K214" s="227"/>
      <c r="L214" s="227"/>
      <c r="M214" s="227"/>
      <c r="N214" s="227"/>
      <c r="O214" s="272"/>
      <c r="P214" s="232"/>
      <c r="Q214" s="94" t="s">
        <v>130</v>
      </c>
      <c r="R214" s="81"/>
      <c r="S214" s="81"/>
      <c r="T214" s="81"/>
      <c r="U214" s="81"/>
      <c r="V214" s="81"/>
      <c r="W214" s="81"/>
      <c r="X214" s="81"/>
      <c r="Y214" s="82"/>
      <c r="Z214" s="82"/>
      <c r="AA214" s="82"/>
      <c r="AB214" s="82"/>
      <c r="AC214" s="82"/>
      <c r="AD214" s="82"/>
      <c r="AE214" s="82"/>
      <c r="AF214" s="82"/>
      <c r="AG214" s="82"/>
      <c r="AH214" s="82"/>
      <c r="AI214" s="82"/>
      <c r="AJ214" s="82"/>
      <c r="AK214" s="82"/>
      <c r="AL214" s="82"/>
      <c r="AM214" s="82"/>
      <c r="AN214" s="82"/>
    </row>
    <row r="215" spans="1:40" ht="15.6" x14ac:dyDescent="0.25">
      <c r="A215" s="227"/>
      <c r="B215" s="230"/>
      <c r="C215" s="227"/>
      <c r="D215" s="227" t="s">
        <v>62</v>
      </c>
      <c r="E215" s="227"/>
      <c r="F215" s="227"/>
      <c r="G215" s="227"/>
      <c r="H215" s="227"/>
      <c r="I215" s="283"/>
      <c r="J215" s="259">
        <f>'ادخال  التوقعات المالية'!D139*$U$1</f>
        <v>456860.35</v>
      </c>
      <c r="K215" s="259">
        <f>'ادخال  التوقعات المالية'!E139*$U$1</f>
        <v>687831.13749999995</v>
      </c>
      <c r="L215" s="259">
        <f>'ادخال  التوقعات المالية'!F139*$U$1</f>
        <v>846561.4</v>
      </c>
      <c r="M215" s="259">
        <f>'ادخال  التوقعات المالية'!G139*$U$1</f>
        <v>952381.57499999995</v>
      </c>
      <c r="N215" s="259">
        <f>'ادخال  التوقعات المالية'!H139*$U$1</f>
        <v>1058201.75</v>
      </c>
      <c r="O215" s="272"/>
      <c r="P215" s="232"/>
      <c r="Q215" s="94" t="str">
        <f>IF(SUM(I215:O215)=0,"-","Yes")</f>
        <v>Yes</v>
      </c>
      <c r="R215" s="81"/>
      <c r="S215" s="81"/>
      <c r="T215" s="81"/>
      <c r="U215" s="81"/>
      <c r="V215" s="81"/>
      <c r="W215" s="81"/>
      <c r="X215" s="81"/>
      <c r="Y215" s="82"/>
      <c r="Z215" s="82"/>
      <c r="AA215" s="82"/>
      <c r="AB215" s="82"/>
      <c r="AC215" s="82"/>
      <c r="AD215" s="82"/>
      <c r="AE215" s="82"/>
      <c r="AF215" s="82"/>
      <c r="AG215" s="82"/>
      <c r="AH215" s="82"/>
      <c r="AI215" s="82"/>
      <c r="AJ215" s="82"/>
      <c r="AK215" s="82"/>
      <c r="AL215" s="82"/>
      <c r="AM215" s="82"/>
      <c r="AN215" s="82"/>
    </row>
    <row r="216" spans="1:40" ht="15.6" x14ac:dyDescent="0.25">
      <c r="A216" s="227"/>
      <c r="B216" s="230"/>
      <c r="C216" s="227"/>
      <c r="D216" s="227" t="s">
        <v>54</v>
      </c>
      <c r="E216" s="227"/>
      <c r="F216" s="227"/>
      <c r="G216" s="227"/>
      <c r="H216" s="227"/>
      <c r="I216" s="283">
        <v>0</v>
      </c>
      <c r="J216" s="259">
        <f>'ادخال  التوقعات المالية'!C223*$U$1</f>
        <v>125433.90288661775</v>
      </c>
      <c r="K216" s="259">
        <f>'ادخال  التوقعات المالية'!D223*$U$1</f>
        <v>130451.25900208247</v>
      </c>
      <c r="L216" s="259">
        <f>'ادخال  التوقعات المالية'!E223*$U$1</f>
        <v>135669.30936216578</v>
      </c>
      <c r="M216" s="259">
        <f>'ادخال  التوقعات المالية'!F223*$U$1</f>
        <v>141096.08173665241</v>
      </c>
      <c r="N216" s="259">
        <f>'ادخال  التوقعات المالية'!G223*$U$1</f>
        <v>146739.92500611849</v>
      </c>
      <c r="O216" s="272"/>
      <c r="P216" s="232"/>
      <c r="Q216" s="94" t="str">
        <f>IF(SUM(I216:O216)=0,"-","Yes")</f>
        <v>Yes</v>
      </c>
      <c r="R216" s="81"/>
      <c r="S216" s="81"/>
      <c r="T216" s="81"/>
      <c r="U216" s="81"/>
      <c r="V216" s="81"/>
      <c r="W216" s="81"/>
      <c r="X216" s="81"/>
      <c r="Y216" s="82"/>
      <c r="Z216" s="82"/>
      <c r="AA216" s="82"/>
      <c r="AB216" s="82"/>
      <c r="AC216" s="82"/>
      <c r="AD216" s="82"/>
      <c r="AE216" s="82"/>
      <c r="AF216" s="82"/>
      <c r="AG216" s="82"/>
      <c r="AH216" s="82"/>
      <c r="AI216" s="82"/>
      <c r="AJ216" s="82"/>
      <c r="AK216" s="82"/>
      <c r="AL216" s="82"/>
      <c r="AM216" s="82"/>
      <c r="AN216" s="82"/>
    </row>
    <row r="217" spans="1:40" ht="15.6" x14ac:dyDescent="0.25">
      <c r="A217" s="227"/>
      <c r="B217" s="230"/>
      <c r="C217" s="227"/>
      <c r="D217" s="284" t="s">
        <v>7</v>
      </c>
      <c r="E217" s="284"/>
      <c r="F217" s="284"/>
      <c r="G217" s="284"/>
      <c r="H217" s="284"/>
      <c r="I217" s="285">
        <f t="shared" ref="I217:N217" si="13">SUM(I215:I216)</f>
        <v>0</v>
      </c>
      <c r="J217" s="286">
        <f t="shared" si="13"/>
        <v>582294.25288661779</v>
      </c>
      <c r="K217" s="286">
        <f t="shared" si="13"/>
        <v>818282.39650208247</v>
      </c>
      <c r="L217" s="286">
        <f t="shared" si="13"/>
        <v>982230.70936216577</v>
      </c>
      <c r="M217" s="286">
        <f t="shared" si="13"/>
        <v>1093477.6567366524</v>
      </c>
      <c r="N217" s="286">
        <f t="shared" si="13"/>
        <v>1204941.6750061186</v>
      </c>
      <c r="O217" s="272"/>
      <c r="P217" s="232"/>
      <c r="Q217" s="94" t="str">
        <f>IF(SUM(I217:O217)=0,"-","Yes")</f>
        <v>Yes</v>
      </c>
      <c r="R217" s="81"/>
      <c r="S217" s="81"/>
      <c r="T217" s="81"/>
      <c r="U217" s="81"/>
      <c r="V217" s="81"/>
      <c r="W217" s="81"/>
      <c r="X217" s="81"/>
      <c r="Y217" s="82"/>
      <c r="Z217" s="82"/>
      <c r="AA217" s="82"/>
      <c r="AB217" s="82"/>
      <c r="AC217" s="82"/>
      <c r="AD217" s="82"/>
      <c r="AE217" s="82"/>
      <c r="AF217" s="82"/>
      <c r="AG217" s="82"/>
      <c r="AH217" s="82"/>
      <c r="AI217" s="82"/>
      <c r="AJ217" s="82"/>
      <c r="AK217" s="82"/>
      <c r="AL217" s="82"/>
      <c r="AM217" s="82"/>
      <c r="AN217" s="82"/>
    </row>
    <row r="218" spans="1:40" ht="6" hidden="1" customHeight="1" x14ac:dyDescent="0.25">
      <c r="A218" s="227"/>
      <c r="B218" s="230"/>
      <c r="C218" s="227"/>
      <c r="D218" s="227"/>
      <c r="E218" s="227"/>
      <c r="F218" s="227"/>
      <c r="G218" s="227"/>
      <c r="H218" s="227"/>
      <c r="I218" s="283"/>
      <c r="J218" s="259"/>
      <c r="K218" s="259"/>
      <c r="L218" s="259"/>
      <c r="M218" s="259"/>
      <c r="N218" s="259"/>
      <c r="O218" s="272"/>
      <c r="P218" s="232"/>
      <c r="Q218" s="94" t="str">
        <f>IF(SUM(I218:O218)=0,"-","Yes")</f>
        <v>-</v>
      </c>
      <c r="R218" s="81"/>
      <c r="S218" s="81"/>
      <c r="T218" s="81"/>
      <c r="U218" s="81"/>
      <c r="V218" s="81"/>
      <c r="W218" s="81"/>
      <c r="X218" s="81"/>
      <c r="Y218" s="82"/>
      <c r="Z218" s="82"/>
      <c r="AA218" s="82"/>
      <c r="AB218" s="82"/>
      <c r="AC218" s="82"/>
      <c r="AD218" s="82"/>
      <c r="AE218" s="82"/>
      <c r="AF218" s="82"/>
      <c r="AG218" s="82"/>
      <c r="AH218" s="82"/>
      <c r="AI218" s="82"/>
      <c r="AJ218" s="82"/>
      <c r="AK218" s="82"/>
      <c r="AL218" s="82"/>
      <c r="AM218" s="82"/>
      <c r="AN218" s="82"/>
    </row>
    <row r="219" spans="1:40" ht="15.6" x14ac:dyDescent="0.25">
      <c r="A219" s="227"/>
      <c r="B219" s="230"/>
      <c r="C219" s="227"/>
      <c r="D219" s="77" t="s">
        <v>55</v>
      </c>
      <c r="E219" s="227"/>
      <c r="F219" s="227"/>
      <c r="G219" s="227"/>
      <c r="H219" s="227"/>
      <c r="I219" s="283"/>
      <c r="J219" s="289"/>
      <c r="K219" s="259"/>
      <c r="L219" s="259"/>
      <c r="M219" s="259"/>
      <c r="N219" s="259"/>
      <c r="O219" s="272"/>
      <c r="P219" s="232"/>
      <c r="Q219" s="94" t="s">
        <v>130</v>
      </c>
      <c r="R219" s="81"/>
      <c r="S219" s="81"/>
      <c r="T219" s="81"/>
      <c r="U219" s="81"/>
      <c r="V219" s="81"/>
      <c r="W219" s="81"/>
      <c r="X219" s="81"/>
      <c r="Y219" s="82"/>
      <c r="Z219" s="82"/>
      <c r="AA219" s="82"/>
      <c r="AB219" s="82"/>
      <c r="AC219" s="82"/>
      <c r="AD219" s="82"/>
      <c r="AE219" s="82"/>
      <c r="AF219" s="82"/>
      <c r="AG219" s="82"/>
      <c r="AH219" s="82"/>
      <c r="AI219" s="82"/>
      <c r="AJ219" s="82"/>
      <c r="AK219" s="82"/>
      <c r="AL219" s="82"/>
      <c r="AM219" s="82"/>
      <c r="AN219" s="82"/>
    </row>
    <row r="220" spans="1:40" ht="15.6" x14ac:dyDescent="0.25">
      <c r="A220" s="227"/>
      <c r="B220" s="230"/>
      <c r="C220" s="227"/>
      <c r="D220" s="227" t="s">
        <v>71</v>
      </c>
      <c r="E220" s="227"/>
      <c r="F220" s="227"/>
      <c r="G220" s="227"/>
      <c r="H220" s="227"/>
      <c r="I220" s="283">
        <f>SUM('ادخال  التوقعات المالية'!B223:K223)*$U$1</f>
        <v>800000.00000000012</v>
      </c>
      <c r="J220" s="283">
        <f>SUM('ادخال  التوقعات المالية'!D223:M223)*$U$1</f>
        <v>553956.57510701916</v>
      </c>
      <c r="K220" s="283">
        <f>SUM('ادخال  التوقعات المالية'!E223:N223)*$U$1</f>
        <v>423505.31610493665</v>
      </c>
      <c r="L220" s="283">
        <f>SUM('ادخال  التوقعات المالية'!F223:O223)*$U$1</f>
        <v>287836.0067427709</v>
      </c>
      <c r="M220" s="283">
        <f>SUM('ادخال  التوقعات المالية'!G223:P223)*$U$1</f>
        <v>146739.92500611849</v>
      </c>
      <c r="N220" s="283">
        <f>SUM('ادخال  التوقعات المالية'!H223:Q223)*$U$1</f>
        <v>8.1490725278854378E-12</v>
      </c>
      <c r="O220" s="272"/>
      <c r="P220" s="232"/>
      <c r="Q220" s="94" t="str">
        <f>IF(SUM(I220:O220)=0,"-","Yes")</f>
        <v>Yes</v>
      </c>
      <c r="R220" s="81"/>
      <c r="S220" s="81"/>
      <c r="T220" s="81"/>
      <c r="U220" s="81"/>
      <c r="V220" s="81"/>
      <c r="W220" s="81"/>
      <c r="X220" s="81"/>
      <c r="Y220" s="82"/>
      <c r="Z220" s="82"/>
      <c r="AA220" s="82"/>
      <c r="AB220" s="82"/>
      <c r="AC220" s="82"/>
      <c r="AD220" s="82"/>
      <c r="AE220" s="82"/>
      <c r="AF220" s="82"/>
      <c r="AG220" s="82"/>
      <c r="AH220" s="82"/>
      <c r="AI220" s="82"/>
      <c r="AJ220" s="82"/>
      <c r="AK220" s="82"/>
      <c r="AL220" s="82"/>
      <c r="AM220" s="82"/>
      <c r="AN220" s="82"/>
    </row>
    <row r="221" spans="1:40" ht="6.75" customHeight="1" x14ac:dyDescent="0.25">
      <c r="A221" s="227"/>
      <c r="B221" s="230"/>
      <c r="C221" s="227"/>
      <c r="D221" s="227"/>
      <c r="E221" s="227"/>
      <c r="F221" s="227"/>
      <c r="G221" s="227"/>
      <c r="H221" s="227"/>
      <c r="I221" s="283"/>
      <c r="J221" s="227"/>
      <c r="K221" s="227"/>
      <c r="L221" s="227"/>
      <c r="M221" s="227"/>
      <c r="N221" s="227"/>
      <c r="O221" s="272"/>
      <c r="P221" s="232"/>
      <c r="Q221" s="94" t="s">
        <v>130</v>
      </c>
      <c r="R221" s="81"/>
      <c r="S221" s="81"/>
      <c r="T221" s="81"/>
      <c r="U221" s="81"/>
      <c r="V221" s="81"/>
      <c r="W221" s="81"/>
      <c r="X221" s="81"/>
      <c r="Y221" s="82"/>
      <c r="Z221" s="82"/>
      <c r="AA221" s="82"/>
      <c r="AB221" s="82"/>
      <c r="AC221" s="82"/>
      <c r="AD221" s="82"/>
      <c r="AE221" s="82"/>
      <c r="AF221" s="82"/>
      <c r="AG221" s="82"/>
      <c r="AH221" s="82"/>
      <c r="AI221" s="82"/>
      <c r="AJ221" s="82"/>
      <c r="AK221" s="82"/>
      <c r="AL221" s="82"/>
      <c r="AM221" s="82"/>
      <c r="AN221" s="82"/>
    </row>
    <row r="222" spans="1:40" ht="15.6" x14ac:dyDescent="0.25">
      <c r="A222" s="227"/>
      <c r="B222" s="230"/>
      <c r="C222" s="227"/>
      <c r="D222" s="77" t="s">
        <v>56</v>
      </c>
      <c r="E222" s="227"/>
      <c r="F222" s="227"/>
      <c r="G222" s="227"/>
      <c r="H222" s="227"/>
      <c r="I222" s="283"/>
      <c r="J222" s="227"/>
      <c r="K222" s="227"/>
      <c r="L222" s="227"/>
      <c r="M222" s="227"/>
      <c r="N222" s="227"/>
      <c r="O222" s="272"/>
      <c r="P222" s="232"/>
      <c r="Q222" s="94" t="s">
        <v>130</v>
      </c>
      <c r="R222" s="81"/>
      <c r="S222" s="81"/>
      <c r="T222" s="81"/>
      <c r="U222" s="81"/>
      <c r="V222" s="81"/>
      <c r="W222" s="81"/>
      <c r="X222" s="81"/>
      <c r="Y222" s="82"/>
      <c r="Z222" s="82"/>
      <c r="AA222" s="82"/>
      <c r="AB222" s="82"/>
      <c r="AC222" s="82"/>
      <c r="AD222" s="82"/>
      <c r="AE222" s="82"/>
      <c r="AF222" s="82"/>
      <c r="AG222" s="82"/>
      <c r="AH222" s="82"/>
      <c r="AI222" s="82"/>
      <c r="AJ222" s="82"/>
      <c r="AK222" s="82"/>
      <c r="AL222" s="82"/>
      <c r="AM222" s="82"/>
      <c r="AN222" s="82"/>
    </row>
    <row r="223" spans="1:40" ht="15.6" x14ac:dyDescent="0.25">
      <c r="A223" s="227"/>
      <c r="B223" s="230"/>
      <c r="C223" s="227"/>
      <c r="D223" s="227" t="s">
        <v>57</v>
      </c>
      <c r="E223" s="227"/>
      <c r="F223" s="227"/>
      <c r="G223" s="227"/>
      <c r="H223" s="227"/>
      <c r="I223" s="283">
        <f>('ادخال  التوقعات المالية'!C169+'ادخال  التوقعات المالية'!C170)*$U$1</f>
        <v>1600000</v>
      </c>
      <c r="J223" s="259">
        <f>I223</f>
        <v>1600000</v>
      </c>
      <c r="K223" s="259">
        <f>J223</f>
        <v>1600000</v>
      </c>
      <c r="L223" s="259">
        <f>K223</f>
        <v>1600000</v>
      </c>
      <c r="M223" s="259">
        <f>L223</f>
        <v>1600000</v>
      </c>
      <c r="N223" s="259">
        <f>M223</f>
        <v>1600000</v>
      </c>
      <c r="O223" s="272"/>
      <c r="P223" s="232"/>
      <c r="Q223" s="94" t="str">
        <f>IF(SUM(I223:O223)=0,"-","Yes")</f>
        <v>Yes</v>
      </c>
      <c r="R223" s="81"/>
      <c r="S223" s="81"/>
      <c r="T223" s="81"/>
      <c r="U223" s="81"/>
      <c r="V223" s="81"/>
      <c r="W223" s="81"/>
      <c r="X223" s="81"/>
      <c r="Y223" s="82"/>
      <c r="Z223" s="82"/>
      <c r="AA223" s="82"/>
      <c r="AB223" s="82"/>
      <c r="AC223" s="82"/>
      <c r="AD223" s="82"/>
      <c r="AE223" s="82"/>
      <c r="AF223" s="82"/>
      <c r="AG223" s="82"/>
      <c r="AH223" s="82"/>
      <c r="AI223" s="82"/>
      <c r="AJ223" s="82"/>
      <c r="AK223" s="82"/>
      <c r="AL223" s="82"/>
      <c r="AM223" s="82"/>
      <c r="AN223" s="82"/>
    </row>
    <row r="224" spans="1:40" ht="15.6" x14ac:dyDescent="0.25">
      <c r="A224" s="227"/>
      <c r="B224" s="230"/>
      <c r="C224" s="227"/>
      <c r="D224" s="227" t="s">
        <v>235</v>
      </c>
      <c r="E224" s="227"/>
      <c r="F224" s="227"/>
      <c r="G224" s="227"/>
      <c r="H224" s="227"/>
      <c r="I224" s="283"/>
      <c r="J224" s="259">
        <f>J178</f>
        <v>-219579.40000000037</v>
      </c>
      <c r="K224" s="259">
        <f>K178+J224</f>
        <v>570135.5196302539</v>
      </c>
      <c r="L224" s="259">
        <f>L178+K224</f>
        <v>1959685.9966259734</v>
      </c>
      <c r="M224" s="259">
        <f>M178+L224</f>
        <v>3654474.9914817763</v>
      </c>
      <c r="N224" s="259">
        <f>N178+M224</f>
        <v>5724911.2262120657</v>
      </c>
      <c r="O224" s="272"/>
      <c r="P224" s="232"/>
      <c r="Q224" s="94" t="str">
        <f>IF(SUM(I224:O224)=0,"-","Yes")</f>
        <v>Yes</v>
      </c>
      <c r="R224" s="81"/>
      <c r="S224" s="81"/>
      <c r="T224" s="81"/>
      <c r="U224" s="81"/>
      <c r="V224" s="81"/>
      <c r="W224" s="81"/>
      <c r="X224" s="81"/>
      <c r="Y224" s="82"/>
      <c r="Z224" s="82"/>
      <c r="AA224" s="82"/>
      <c r="AB224" s="82"/>
      <c r="AC224" s="82"/>
      <c r="AD224" s="82"/>
      <c r="AE224" s="82"/>
      <c r="AF224" s="82"/>
      <c r="AG224" s="82"/>
      <c r="AH224" s="82"/>
      <c r="AI224" s="82"/>
      <c r="AJ224" s="82"/>
      <c r="AK224" s="82"/>
      <c r="AL224" s="82"/>
      <c r="AM224" s="82"/>
      <c r="AN224" s="82"/>
    </row>
    <row r="225" spans="1:40" ht="16.2" thickBot="1" x14ac:dyDescent="0.3">
      <c r="A225" s="227"/>
      <c r="B225" s="230"/>
      <c r="C225" s="227"/>
      <c r="D225" s="287" t="s">
        <v>60</v>
      </c>
      <c r="E225" s="287"/>
      <c r="F225" s="287"/>
      <c r="G225" s="287"/>
      <c r="H225" s="287"/>
      <c r="I225" s="288">
        <f t="shared" ref="I225:N225" si="14">SUM(I223:I224)+I220+I217</f>
        <v>2400000</v>
      </c>
      <c r="J225" s="290">
        <f t="shared" si="14"/>
        <v>2516671.4279936366</v>
      </c>
      <c r="K225" s="290">
        <f t="shared" si="14"/>
        <v>3411923.2322372729</v>
      </c>
      <c r="L225" s="290">
        <f t="shared" si="14"/>
        <v>4829752.7127309097</v>
      </c>
      <c r="M225" s="290">
        <f t="shared" si="14"/>
        <v>6494692.5732245473</v>
      </c>
      <c r="N225" s="290">
        <f t="shared" si="14"/>
        <v>8529852.9012181833</v>
      </c>
      <c r="O225" s="272"/>
      <c r="P225" s="232"/>
      <c r="Q225" s="94" t="str">
        <f>IF(SUM(I225:O225)=0,"-","Yes")</f>
        <v>Yes</v>
      </c>
      <c r="R225" s="81"/>
      <c r="S225" s="81"/>
      <c r="T225" s="81"/>
      <c r="U225" s="81"/>
      <c r="V225" s="81"/>
      <c r="W225" s="81"/>
      <c r="X225" s="81"/>
      <c r="Y225" s="82"/>
      <c r="Z225" s="82"/>
      <c r="AA225" s="82"/>
      <c r="AB225" s="82"/>
      <c r="AC225" s="82"/>
      <c r="AD225" s="82"/>
      <c r="AE225" s="82"/>
      <c r="AF225" s="82"/>
      <c r="AG225" s="82"/>
      <c r="AH225" s="82"/>
      <c r="AI225" s="82"/>
      <c r="AJ225" s="82"/>
      <c r="AK225" s="82"/>
      <c r="AL225" s="82"/>
      <c r="AM225" s="82"/>
      <c r="AN225" s="82"/>
    </row>
    <row r="226" spans="1:40" ht="15.6" x14ac:dyDescent="0.25">
      <c r="A226" s="227"/>
      <c r="B226" s="230"/>
      <c r="C226" s="227"/>
      <c r="D226" s="227"/>
      <c r="E226" s="227"/>
      <c r="F226" s="227"/>
      <c r="G226" s="227"/>
      <c r="H226" s="227"/>
      <c r="I226" s="291">
        <f t="shared" ref="I226:N226" si="15">I225-I212</f>
        <v>0</v>
      </c>
      <c r="J226" s="292">
        <f t="shared" si="15"/>
        <v>0</v>
      </c>
      <c r="K226" s="292">
        <f t="shared" si="15"/>
        <v>0</v>
      </c>
      <c r="L226" s="292">
        <f t="shared" si="15"/>
        <v>0</v>
      </c>
      <c r="M226" s="292">
        <f t="shared" si="15"/>
        <v>0</v>
      </c>
      <c r="N226" s="292">
        <f t="shared" si="15"/>
        <v>0</v>
      </c>
      <c r="O226" s="272"/>
      <c r="P226" s="232"/>
      <c r="Q226" s="94" t="s">
        <v>130</v>
      </c>
      <c r="R226" s="81"/>
      <c r="S226" s="81"/>
      <c r="T226" s="81"/>
      <c r="U226" s="81"/>
      <c r="V226" s="81"/>
      <c r="W226" s="81"/>
      <c r="X226" s="81"/>
      <c r="Y226" s="82"/>
      <c r="Z226" s="82"/>
      <c r="AA226" s="82"/>
      <c r="AB226" s="82"/>
      <c r="AC226" s="82"/>
      <c r="AD226" s="82"/>
      <c r="AE226" s="82"/>
      <c r="AF226" s="82"/>
      <c r="AG226" s="82"/>
      <c r="AH226" s="82"/>
      <c r="AI226" s="82"/>
      <c r="AJ226" s="82"/>
      <c r="AK226" s="82"/>
      <c r="AL226" s="82"/>
      <c r="AM226" s="82"/>
      <c r="AN226" s="82"/>
    </row>
    <row r="227" spans="1:40" ht="15.6" x14ac:dyDescent="0.25">
      <c r="A227" s="227"/>
      <c r="B227" s="230"/>
      <c r="C227" s="227"/>
      <c r="D227" s="227"/>
      <c r="E227" s="77"/>
      <c r="F227" s="77"/>
      <c r="G227" s="77"/>
      <c r="H227" s="77"/>
      <c r="I227" s="279"/>
      <c r="J227" s="293"/>
      <c r="K227" s="293"/>
      <c r="L227" s="293"/>
      <c r="M227" s="293"/>
      <c r="N227" s="293"/>
      <c r="O227" s="272"/>
      <c r="P227" s="232"/>
      <c r="Q227" s="94" t="s">
        <v>130</v>
      </c>
      <c r="R227" s="81"/>
      <c r="S227" s="81"/>
      <c r="T227" s="81"/>
      <c r="U227" s="81"/>
      <c r="V227" s="81"/>
      <c r="W227" s="81"/>
      <c r="X227" s="81"/>
      <c r="Y227" s="82"/>
      <c r="Z227" s="82"/>
      <c r="AA227" s="82"/>
      <c r="AB227" s="82"/>
      <c r="AC227" s="82"/>
      <c r="AD227" s="82"/>
      <c r="AE227" s="82"/>
      <c r="AF227" s="82"/>
      <c r="AG227" s="82"/>
      <c r="AH227" s="82"/>
      <c r="AI227" s="82"/>
      <c r="AJ227" s="82"/>
      <c r="AK227" s="82"/>
      <c r="AL227" s="82"/>
      <c r="AM227" s="82"/>
      <c r="AN227" s="82"/>
    </row>
    <row r="228" spans="1:40" ht="15.6" x14ac:dyDescent="0.25">
      <c r="A228" s="227"/>
      <c r="B228" s="230"/>
      <c r="C228" s="227"/>
      <c r="D228" s="227"/>
      <c r="E228" s="77"/>
      <c r="F228" s="77"/>
      <c r="G228" s="77"/>
      <c r="H228" s="77"/>
      <c r="I228" s="279"/>
      <c r="J228" s="293"/>
      <c r="K228" s="293"/>
      <c r="L228" s="293"/>
      <c r="M228" s="293"/>
      <c r="N228" s="293"/>
      <c r="O228" s="271"/>
      <c r="P228" s="232"/>
      <c r="Q228" s="94" t="s">
        <v>130</v>
      </c>
      <c r="R228" s="81"/>
      <c r="S228" s="81"/>
      <c r="T228" s="81"/>
      <c r="U228" s="81"/>
      <c r="V228" s="81"/>
      <c r="W228" s="81"/>
      <c r="X228" s="81"/>
      <c r="Y228" s="82"/>
      <c r="Z228" s="82"/>
      <c r="AA228" s="82"/>
      <c r="AB228" s="82"/>
      <c r="AC228" s="82"/>
      <c r="AD228" s="82"/>
      <c r="AE228" s="82"/>
      <c r="AF228" s="82"/>
      <c r="AG228" s="82"/>
      <c r="AH228" s="82"/>
      <c r="AI228" s="82"/>
      <c r="AJ228" s="82"/>
      <c r="AK228" s="82"/>
      <c r="AL228" s="82"/>
      <c r="AM228" s="82"/>
      <c r="AN228" s="82"/>
    </row>
    <row r="229" spans="1:40" ht="24" customHeight="1" x14ac:dyDescent="0.25">
      <c r="A229" s="227"/>
      <c r="B229" s="230"/>
      <c r="C229" s="227"/>
      <c r="D229" s="375" t="s">
        <v>152</v>
      </c>
      <c r="E229" s="375"/>
      <c r="F229" s="375"/>
      <c r="G229" s="375"/>
      <c r="H229" s="367"/>
      <c r="I229" s="222" t="s">
        <v>33</v>
      </c>
      <c r="J229" s="222">
        <f>J94</f>
        <v>2024</v>
      </c>
      <c r="K229" s="222">
        <f>K94</f>
        <v>2025</v>
      </c>
      <c r="L229" s="222">
        <f>L94</f>
        <v>2026</v>
      </c>
      <c r="M229" s="222">
        <f>M94</f>
        <v>2027</v>
      </c>
      <c r="N229" s="222">
        <f>N94</f>
        <v>2028</v>
      </c>
      <c r="O229" s="227"/>
      <c r="P229" s="232"/>
      <c r="Q229" s="94" t="s">
        <v>130</v>
      </c>
      <c r="R229" s="81" t="s">
        <v>131</v>
      </c>
      <c r="S229" s="81"/>
      <c r="T229" s="81"/>
      <c r="U229" s="81"/>
      <c r="V229" s="81"/>
      <c r="W229" s="81"/>
      <c r="X229" s="81"/>
      <c r="Y229" s="82"/>
      <c r="Z229" s="82"/>
      <c r="AA229" s="82"/>
      <c r="AB229" s="82"/>
      <c r="AC229" s="82"/>
      <c r="AD229" s="82"/>
      <c r="AE229" s="82"/>
      <c r="AF229" s="82"/>
      <c r="AG229" s="82"/>
      <c r="AH229" s="82"/>
      <c r="AI229" s="82"/>
      <c r="AJ229" s="82"/>
      <c r="AK229" s="82"/>
      <c r="AL229" s="82"/>
      <c r="AM229" s="82"/>
      <c r="AN229" s="82"/>
    </row>
    <row r="230" spans="1:40" ht="24" customHeight="1" x14ac:dyDescent="0.25">
      <c r="A230" s="227"/>
      <c r="B230" s="230"/>
      <c r="C230" s="227"/>
      <c r="D230" s="388" t="s">
        <v>17</v>
      </c>
      <c r="E230" s="388"/>
      <c r="F230" s="388"/>
      <c r="G230" s="388"/>
      <c r="H230" s="366"/>
      <c r="I230" s="294">
        <f t="shared" ref="I230:N230" si="16">I224-H224</f>
        <v>0</v>
      </c>
      <c r="J230" s="295">
        <f>J224-I224</f>
        <v>-219579.40000000037</v>
      </c>
      <c r="K230" s="295">
        <f t="shared" si="16"/>
        <v>789714.91963025427</v>
      </c>
      <c r="L230" s="295">
        <f t="shared" si="16"/>
        <v>1389550.4769957196</v>
      </c>
      <c r="M230" s="295">
        <f t="shared" si="16"/>
        <v>1694788.994855803</v>
      </c>
      <c r="N230" s="295">
        <f t="shared" si="16"/>
        <v>2070436.2347302893</v>
      </c>
      <c r="O230" s="227"/>
      <c r="P230" s="232"/>
      <c r="Q230" s="94" t="str">
        <f>IF(SUM(I230:O230)=0,"-","Yes")</f>
        <v>Yes</v>
      </c>
      <c r="R230" s="81" t="s">
        <v>131</v>
      </c>
      <c r="S230" s="81"/>
      <c r="T230" s="81"/>
      <c r="U230" s="81"/>
      <c r="V230" s="81"/>
      <c r="W230" s="81"/>
      <c r="X230" s="81"/>
      <c r="Y230" s="82"/>
      <c r="Z230" s="82"/>
      <c r="AA230" s="82"/>
      <c r="AB230" s="82"/>
      <c r="AC230" s="82"/>
      <c r="AD230" s="82"/>
      <c r="AE230" s="82"/>
      <c r="AF230" s="82"/>
      <c r="AG230" s="82"/>
      <c r="AH230" s="82"/>
      <c r="AI230" s="82"/>
      <c r="AJ230" s="82"/>
      <c r="AK230" s="82"/>
      <c r="AL230" s="82"/>
      <c r="AM230" s="82"/>
      <c r="AN230" s="82"/>
    </row>
    <row r="231" spans="1:40" ht="24" customHeight="1" x14ac:dyDescent="0.25">
      <c r="A231" s="227"/>
      <c r="B231" s="230"/>
      <c r="C231" s="227"/>
      <c r="D231" s="388" t="s">
        <v>236</v>
      </c>
      <c r="E231" s="388"/>
      <c r="F231" s="388"/>
      <c r="G231" s="388"/>
      <c r="H231" s="366"/>
      <c r="I231" s="294">
        <v>0</v>
      </c>
      <c r="J231" s="295">
        <f>-J172</f>
        <v>89800</v>
      </c>
      <c r="K231" s="295">
        <f>-K172</f>
        <v>89800</v>
      </c>
      <c r="L231" s="295">
        <f>-L172</f>
        <v>89800</v>
      </c>
      <c r="M231" s="295">
        <f>-M172</f>
        <v>86800</v>
      </c>
      <c r="N231" s="295">
        <f>-N172</f>
        <v>86800</v>
      </c>
      <c r="O231" s="227"/>
      <c r="P231" s="232"/>
      <c r="Q231" s="94" t="str">
        <f t="shared" ref="Q231:Q237" si="17">IF(SUM(I231:O231)=0,"-","Yes")</f>
        <v>Yes</v>
      </c>
      <c r="R231" s="81" t="s">
        <v>131</v>
      </c>
      <c r="S231" s="81"/>
      <c r="T231" s="81"/>
      <c r="U231" s="81"/>
      <c r="V231" s="81"/>
      <c r="W231" s="81"/>
      <c r="X231" s="81"/>
      <c r="Y231" s="82"/>
      <c r="Z231" s="82"/>
      <c r="AA231" s="82"/>
      <c r="AB231" s="82"/>
      <c r="AC231" s="82"/>
      <c r="AD231" s="82"/>
      <c r="AE231" s="82"/>
      <c r="AF231" s="82"/>
      <c r="AG231" s="82"/>
      <c r="AH231" s="82"/>
      <c r="AI231" s="82"/>
      <c r="AJ231" s="82"/>
      <c r="AK231" s="82"/>
      <c r="AL231" s="82"/>
      <c r="AM231" s="82"/>
      <c r="AN231" s="82"/>
    </row>
    <row r="232" spans="1:40" ht="24" customHeight="1" x14ac:dyDescent="0.25">
      <c r="A232" s="227"/>
      <c r="B232" s="230"/>
      <c r="C232" s="227"/>
      <c r="D232" s="389" t="s">
        <v>98</v>
      </c>
      <c r="E232" s="390"/>
      <c r="F232" s="390"/>
      <c r="G232" s="390"/>
      <c r="H232" s="384"/>
      <c r="I232" s="296">
        <f t="shared" ref="I232:N232" si="18">SUM(I230:I231)</f>
        <v>0</v>
      </c>
      <c r="J232" s="297">
        <f t="shared" si="18"/>
        <v>-129779.40000000037</v>
      </c>
      <c r="K232" s="297">
        <f t="shared" si="18"/>
        <v>879514.91963025427</v>
      </c>
      <c r="L232" s="297">
        <f t="shared" si="18"/>
        <v>1479350.4769957196</v>
      </c>
      <c r="M232" s="297">
        <f t="shared" si="18"/>
        <v>1781588.994855803</v>
      </c>
      <c r="N232" s="297">
        <f t="shared" si="18"/>
        <v>2157236.2347302893</v>
      </c>
      <c r="O232" s="227"/>
      <c r="P232" s="232"/>
      <c r="Q232" s="94" t="str">
        <f t="shared" si="17"/>
        <v>Yes</v>
      </c>
      <c r="R232" s="81" t="s">
        <v>131</v>
      </c>
      <c r="S232" s="81"/>
      <c r="T232" s="81"/>
      <c r="U232" s="81"/>
      <c r="V232" s="81"/>
      <c r="W232" s="81"/>
      <c r="X232" s="81"/>
      <c r="Y232" s="82"/>
      <c r="Z232" s="82"/>
      <c r="AA232" s="82"/>
      <c r="AB232" s="82"/>
      <c r="AC232" s="82"/>
      <c r="AD232" s="82"/>
      <c r="AE232" s="82"/>
      <c r="AF232" s="82"/>
      <c r="AG232" s="82"/>
      <c r="AH232" s="82"/>
      <c r="AI232" s="82"/>
      <c r="AJ232" s="82"/>
      <c r="AK232" s="82"/>
      <c r="AL232" s="82"/>
      <c r="AM232" s="82"/>
      <c r="AN232" s="82"/>
    </row>
    <row r="233" spans="1:40" ht="24" customHeight="1" x14ac:dyDescent="0.25">
      <c r="A233" s="227"/>
      <c r="B233" s="230"/>
      <c r="C233" s="227"/>
      <c r="D233" s="388" t="str">
        <f>D204</f>
        <v xml:space="preserve">العملاء </v>
      </c>
      <c r="E233" s="388"/>
      <c r="F233" s="388"/>
      <c r="G233" s="388"/>
      <c r="H233" s="366"/>
      <c r="I233" s="294">
        <f t="shared" ref="I233:N235" si="19">-(I204-H204)</f>
        <v>0</v>
      </c>
      <c r="J233" s="295">
        <f t="shared" si="19"/>
        <v>-239870.11111111112</v>
      </c>
      <c r="K233" s="295">
        <f t="shared" si="19"/>
        <v>-121238.83333333331</v>
      </c>
      <c r="L233" s="295">
        <f t="shared" si="19"/>
        <v>-83332.833333333314</v>
      </c>
      <c r="M233" s="295">
        <f t="shared" si="19"/>
        <v>-55555.222222222248</v>
      </c>
      <c r="N233" s="295">
        <f t="shared" si="19"/>
        <v>-55555.222222222248</v>
      </c>
      <c r="O233" s="227"/>
      <c r="P233" s="232"/>
      <c r="Q233" s="94" t="str">
        <f t="shared" si="17"/>
        <v>Yes</v>
      </c>
      <c r="R233" s="81" t="s">
        <v>131</v>
      </c>
      <c r="S233" s="81"/>
      <c r="T233" s="81"/>
      <c r="U233" s="81"/>
      <c r="V233" s="81"/>
      <c r="W233" s="81"/>
      <c r="X233" s="81"/>
      <c r="Y233" s="82"/>
      <c r="Z233" s="82"/>
      <c r="AA233" s="82"/>
      <c r="AB233" s="82"/>
      <c r="AC233" s="82"/>
      <c r="AD233" s="82"/>
      <c r="AE233" s="82"/>
      <c r="AF233" s="82"/>
      <c r="AG233" s="82"/>
      <c r="AH233" s="82"/>
      <c r="AI233" s="82"/>
      <c r="AJ233" s="82"/>
      <c r="AK233" s="82"/>
      <c r="AL233" s="82"/>
      <c r="AM233" s="82"/>
      <c r="AN233" s="82"/>
    </row>
    <row r="234" spans="1:40" ht="24" customHeight="1" x14ac:dyDescent="0.25">
      <c r="A234" s="227"/>
      <c r="B234" s="230"/>
      <c r="C234" s="227"/>
      <c r="D234" s="388" t="str">
        <f>D205</f>
        <v>مصاريف مدفوعة مقدما</v>
      </c>
      <c r="E234" s="388"/>
      <c r="F234" s="388"/>
      <c r="G234" s="388"/>
      <c r="H234" s="366"/>
      <c r="I234" s="294">
        <f t="shared" si="19"/>
        <v>-450000</v>
      </c>
      <c r="J234" s="295">
        <f t="shared" si="19"/>
        <v>0</v>
      </c>
      <c r="K234" s="295">
        <f t="shared" si="19"/>
        <v>0</v>
      </c>
      <c r="L234" s="295">
        <f t="shared" si="19"/>
        <v>0</v>
      </c>
      <c r="M234" s="295">
        <f t="shared" si="19"/>
        <v>0</v>
      </c>
      <c r="N234" s="295">
        <f t="shared" si="19"/>
        <v>0</v>
      </c>
      <c r="O234" s="227"/>
      <c r="P234" s="232"/>
      <c r="Q234" s="94" t="str">
        <f t="shared" si="17"/>
        <v>Yes</v>
      </c>
      <c r="R234" s="81" t="s">
        <v>131</v>
      </c>
      <c r="S234" s="81"/>
      <c r="T234" s="81"/>
      <c r="U234" s="81"/>
      <c r="V234" s="81"/>
      <c r="W234" s="81"/>
      <c r="X234" s="81"/>
      <c r="Y234" s="82"/>
      <c r="Z234" s="82"/>
      <c r="AA234" s="82"/>
      <c r="AB234" s="82"/>
      <c r="AC234" s="82"/>
      <c r="AD234" s="82"/>
      <c r="AE234" s="82"/>
      <c r="AF234" s="82"/>
      <c r="AG234" s="82"/>
      <c r="AH234" s="82"/>
      <c r="AI234" s="82"/>
      <c r="AJ234" s="82"/>
      <c r="AK234" s="82"/>
      <c r="AL234" s="82"/>
      <c r="AM234" s="82"/>
      <c r="AN234" s="82"/>
    </row>
    <row r="235" spans="1:40" ht="24" customHeight="1" x14ac:dyDescent="0.25">
      <c r="A235" s="227"/>
      <c r="B235" s="230"/>
      <c r="C235" s="227"/>
      <c r="D235" s="388" t="str">
        <f>D206</f>
        <v xml:space="preserve">المخزون </v>
      </c>
      <c r="E235" s="388"/>
      <c r="F235" s="388"/>
      <c r="G235" s="388"/>
      <c r="H235" s="366"/>
      <c r="I235" s="294">
        <f t="shared" si="19"/>
        <v>-456860.35</v>
      </c>
      <c r="J235" s="295">
        <f t="shared" si="19"/>
        <v>0</v>
      </c>
      <c r="K235" s="295">
        <f t="shared" si="19"/>
        <v>-230970.78749999998</v>
      </c>
      <c r="L235" s="295">
        <f t="shared" si="19"/>
        <v>-158730.26250000007</v>
      </c>
      <c r="M235" s="295">
        <f t="shared" si="19"/>
        <v>-105820.17499999993</v>
      </c>
      <c r="N235" s="295">
        <f t="shared" si="19"/>
        <v>-105820.17500000005</v>
      </c>
      <c r="O235" s="227"/>
      <c r="P235" s="232"/>
      <c r="Q235" s="94" t="str">
        <f t="shared" si="17"/>
        <v>Yes</v>
      </c>
      <c r="R235" s="81" t="s">
        <v>131</v>
      </c>
      <c r="S235" s="81"/>
      <c r="T235" s="81"/>
      <c r="U235" s="81"/>
      <c r="V235" s="81"/>
      <c r="W235" s="81"/>
      <c r="X235" s="81"/>
      <c r="Y235" s="82"/>
      <c r="Z235" s="82"/>
      <c r="AA235" s="82"/>
      <c r="AB235" s="82"/>
      <c r="AC235" s="82"/>
      <c r="AD235" s="82"/>
      <c r="AE235" s="82"/>
      <c r="AF235" s="82"/>
      <c r="AG235" s="82"/>
      <c r="AH235" s="82"/>
      <c r="AI235" s="82"/>
      <c r="AJ235" s="82"/>
      <c r="AK235" s="82"/>
      <c r="AL235" s="82"/>
      <c r="AM235" s="82"/>
      <c r="AN235" s="82"/>
    </row>
    <row r="236" spans="1:40" ht="24" customHeight="1" x14ac:dyDescent="0.25">
      <c r="A236" s="227"/>
      <c r="B236" s="230"/>
      <c r="C236" s="227"/>
      <c r="D236" s="388" t="str">
        <f>D215</f>
        <v>الموردين</v>
      </c>
      <c r="E236" s="388"/>
      <c r="F236" s="388"/>
      <c r="G236" s="388"/>
      <c r="H236" s="366"/>
      <c r="I236" s="294">
        <f t="shared" ref="I236:N236" si="20">I215-H215</f>
        <v>0</v>
      </c>
      <c r="J236" s="295">
        <f t="shared" si="20"/>
        <v>456860.35</v>
      </c>
      <c r="K236" s="295">
        <f t="shared" si="20"/>
        <v>230970.78749999998</v>
      </c>
      <c r="L236" s="295">
        <f t="shared" si="20"/>
        <v>158730.26250000007</v>
      </c>
      <c r="M236" s="295">
        <f t="shared" si="20"/>
        <v>105820.17499999993</v>
      </c>
      <c r="N236" s="295">
        <f t="shared" si="20"/>
        <v>105820.17500000005</v>
      </c>
      <c r="O236" s="227"/>
      <c r="P236" s="232"/>
      <c r="Q236" s="94" t="str">
        <f t="shared" si="17"/>
        <v>Yes</v>
      </c>
      <c r="R236" s="81" t="s">
        <v>131</v>
      </c>
      <c r="S236" s="81"/>
      <c r="T236" s="81"/>
      <c r="U236" s="81"/>
      <c r="V236" s="81"/>
      <c r="W236" s="81"/>
      <c r="X236" s="81"/>
      <c r="Y236" s="82"/>
      <c r="Z236" s="82"/>
      <c r="AA236" s="82"/>
      <c r="AB236" s="82"/>
      <c r="AC236" s="82"/>
      <c r="AD236" s="82"/>
      <c r="AE236" s="82"/>
      <c r="AF236" s="82"/>
      <c r="AG236" s="82"/>
      <c r="AH236" s="82"/>
      <c r="AI236" s="82"/>
      <c r="AJ236" s="82"/>
      <c r="AK236" s="82"/>
      <c r="AL236" s="82"/>
      <c r="AM236" s="82"/>
      <c r="AN236" s="82"/>
    </row>
    <row r="237" spans="1:40" ht="24" customHeight="1" x14ac:dyDescent="0.25">
      <c r="A237" s="227"/>
      <c r="B237" s="230"/>
      <c r="C237" s="227"/>
      <c r="D237" s="391" t="s">
        <v>99</v>
      </c>
      <c r="E237" s="392"/>
      <c r="F237" s="392"/>
      <c r="G237" s="392"/>
      <c r="H237" s="387"/>
      <c r="I237" s="298">
        <f t="shared" ref="I237:N237" si="21">SUM(I232:I236)</f>
        <v>-906860.35</v>
      </c>
      <c r="J237" s="299">
        <f t="shared" si="21"/>
        <v>87210.83888888848</v>
      </c>
      <c r="K237" s="299">
        <f t="shared" si="21"/>
        <v>758276.0862969209</v>
      </c>
      <c r="L237" s="299">
        <f t="shared" si="21"/>
        <v>1396017.6436623866</v>
      </c>
      <c r="M237" s="299">
        <f t="shared" si="21"/>
        <v>1726033.7726335805</v>
      </c>
      <c r="N237" s="299">
        <f t="shared" si="21"/>
        <v>2101681.0125080673</v>
      </c>
      <c r="O237" s="250"/>
      <c r="P237" s="232"/>
      <c r="Q237" s="94" t="str">
        <f t="shared" si="17"/>
        <v>Yes</v>
      </c>
      <c r="R237" s="81" t="s">
        <v>131</v>
      </c>
      <c r="S237" s="81"/>
      <c r="T237" s="81"/>
      <c r="U237" s="81"/>
      <c r="V237" s="81"/>
      <c r="W237" s="81"/>
      <c r="X237" s="81"/>
      <c r="Y237" s="82"/>
      <c r="Z237" s="82"/>
      <c r="AA237" s="82"/>
      <c r="AB237" s="82"/>
      <c r="AC237" s="82"/>
      <c r="AD237" s="82"/>
      <c r="AE237" s="82"/>
      <c r="AF237" s="82"/>
      <c r="AG237" s="82"/>
      <c r="AH237" s="82"/>
      <c r="AI237" s="82"/>
      <c r="AJ237" s="82"/>
      <c r="AK237" s="82"/>
      <c r="AL237" s="82"/>
      <c r="AM237" s="82"/>
      <c r="AN237" s="82"/>
    </row>
    <row r="238" spans="1:40" ht="24" customHeight="1" x14ac:dyDescent="0.25">
      <c r="A238" s="227"/>
      <c r="B238" s="230"/>
      <c r="C238" s="227"/>
      <c r="D238" s="388"/>
      <c r="E238" s="388"/>
      <c r="F238" s="388"/>
      <c r="G238" s="388"/>
      <c r="H238" s="366"/>
      <c r="I238" s="243"/>
      <c r="J238" s="243"/>
      <c r="K238" s="243"/>
      <c r="L238" s="243"/>
      <c r="M238" s="243"/>
      <c r="N238" s="243"/>
      <c r="O238" s="243"/>
      <c r="P238" s="243"/>
      <c r="Q238" s="94" t="s">
        <v>130</v>
      </c>
      <c r="R238" s="81" t="s">
        <v>131</v>
      </c>
      <c r="S238" s="81"/>
      <c r="T238" s="81"/>
      <c r="U238" s="81"/>
      <c r="V238" s="81"/>
      <c r="W238" s="81"/>
      <c r="X238" s="81"/>
      <c r="Y238" s="82"/>
      <c r="Z238" s="82"/>
      <c r="AA238" s="82"/>
      <c r="AB238" s="82"/>
      <c r="AC238" s="82"/>
      <c r="AD238" s="82"/>
      <c r="AE238" s="82"/>
      <c r="AF238" s="82"/>
      <c r="AG238" s="82"/>
      <c r="AH238" s="82"/>
      <c r="AI238" s="82"/>
      <c r="AJ238" s="82"/>
      <c r="AK238" s="82"/>
      <c r="AL238" s="82"/>
      <c r="AM238" s="82"/>
      <c r="AN238" s="82"/>
    </row>
    <row r="239" spans="1:40" ht="24" customHeight="1" x14ac:dyDescent="0.25">
      <c r="A239" s="227"/>
      <c r="B239" s="230"/>
      <c r="C239" s="227"/>
      <c r="D239" s="388" t="str">
        <f>D209</f>
        <v>الأصول الثابتة "الموجودات"</v>
      </c>
      <c r="E239" s="388"/>
      <c r="F239" s="388"/>
      <c r="G239" s="388"/>
      <c r="H239" s="366"/>
      <c r="I239" s="294">
        <f t="shared" ref="I239:N239" si="22">-I209+H209</f>
        <v>-443000</v>
      </c>
      <c r="J239" s="295">
        <f t="shared" si="22"/>
        <v>0</v>
      </c>
      <c r="K239" s="295">
        <f t="shared" si="22"/>
        <v>0</v>
      </c>
      <c r="L239" s="295">
        <f t="shared" si="22"/>
        <v>0</v>
      </c>
      <c r="M239" s="295">
        <f t="shared" si="22"/>
        <v>0</v>
      </c>
      <c r="N239" s="295">
        <f t="shared" si="22"/>
        <v>0</v>
      </c>
      <c r="O239" s="227"/>
      <c r="P239" s="232"/>
      <c r="Q239" s="94" t="str">
        <f>IF(SUM(I239:O239)=0,"-","Yes")</f>
        <v>Yes</v>
      </c>
      <c r="R239" s="81" t="s">
        <v>131</v>
      </c>
      <c r="S239" s="81"/>
      <c r="T239" s="81"/>
      <c r="U239" s="81"/>
      <c r="V239" s="81"/>
      <c r="W239" s="81"/>
      <c r="X239" s="81"/>
      <c r="Y239" s="82"/>
      <c r="Z239" s="82"/>
      <c r="AA239" s="82"/>
      <c r="AB239" s="82"/>
      <c r="AC239" s="82"/>
      <c r="AD239" s="82"/>
      <c r="AE239" s="82"/>
      <c r="AF239" s="82"/>
      <c r="AG239" s="82"/>
      <c r="AH239" s="82"/>
      <c r="AI239" s="82"/>
      <c r="AJ239" s="82"/>
      <c r="AK239" s="82"/>
      <c r="AL239" s="82"/>
      <c r="AM239" s="82"/>
      <c r="AN239" s="82"/>
    </row>
    <row r="240" spans="1:40" ht="24" customHeight="1" x14ac:dyDescent="0.25">
      <c r="A240" s="227"/>
      <c r="B240" s="230"/>
      <c r="C240" s="227"/>
      <c r="D240" s="391" t="s">
        <v>100</v>
      </c>
      <c r="E240" s="392"/>
      <c r="F240" s="392"/>
      <c r="G240" s="392"/>
      <c r="H240" s="387"/>
      <c r="I240" s="298">
        <f t="shared" ref="I240:N240" si="23">SUM(I239)</f>
        <v>-443000</v>
      </c>
      <c r="J240" s="299">
        <f t="shared" si="23"/>
        <v>0</v>
      </c>
      <c r="K240" s="299">
        <f t="shared" si="23"/>
        <v>0</v>
      </c>
      <c r="L240" s="299">
        <f t="shared" si="23"/>
        <v>0</v>
      </c>
      <c r="M240" s="299">
        <f t="shared" si="23"/>
        <v>0</v>
      </c>
      <c r="N240" s="299">
        <f t="shared" si="23"/>
        <v>0</v>
      </c>
      <c r="O240" s="250"/>
      <c r="P240" s="232"/>
      <c r="Q240" s="94" t="str">
        <f>IF(SUM(I240:O240)=0,"-","Yes")</f>
        <v>Yes</v>
      </c>
      <c r="R240" s="81" t="s">
        <v>131</v>
      </c>
      <c r="S240" s="81"/>
      <c r="T240" s="81"/>
      <c r="U240" s="81"/>
      <c r="V240" s="81"/>
      <c r="W240" s="81"/>
      <c r="X240" s="81"/>
      <c r="Y240" s="82"/>
      <c r="Z240" s="82"/>
      <c r="AA240" s="82"/>
      <c r="AB240" s="82"/>
      <c r="AC240" s="82"/>
      <c r="AD240" s="82"/>
      <c r="AE240" s="82"/>
      <c r="AF240" s="82"/>
      <c r="AG240" s="82"/>
      <c r="AH240" s="82"/>
      <c r="AI240" s="82"/>
      <c r="AJ240" s="82"/>
      <c r="AK240" s="82"/>
      <c r="AL240" s="82"/>
      <c r="AM240" s="82"/>
      <c r="AN240" s="82"/>
    </row>
    <row r="241" spans="1:40" ht="24" customHeight="1" x14ac:dyDescent="0.25">
      <c r="A241" s="227"/>
      <c r="B241" s="230"/>
      <c r="C241" s="227"/>
      <c r="D241" s="227"/>
      <c r="E241" s="227"/>
      <c r="F241" s="227"/>
      <c r="I241" s="227"/>
      <c r="J241" s="227"/>
      <c r="K241" s="227"/>
      <c r="L241" s="227"/>
      <c r="M241" s="227"/>
      <c r="N241" s="227"/>
      <c r="O241" s="227"/>
      <c r="P241" s="227"/>
      <c r="Q241" s="94" t="s">
        <v>130</v>
      </c>
      <c r="R241" s="82" t="s">
        <v>131</v>
      </c>
      <c r="S241" s="82"/>
      <c r="T241" s="81"/>
      <c r="U241" s="82"/>
      <c r="V241" s="82"/>
      <c r="W241" s="82"/>
      <c r="X241" s="81"/>
      <c r="Y241" s="82"/>
      <c r="Z241" s="82"/>
      <c r="AA241" s="82"/>
      <c r="AB241" s="82"/>
      <c r="AC241" s="82"/>
      <c r="AD241" s="82"/>
      <c r="AE241" s="82"/>
      <c r="AF241" s="82"/>
      <c r="AG241" s="82"/>
      <c r="AH241" s="82"/>
      <c r="AI241" s="82"/>
      <c r="AJ241" s="82"/>
      <c r="AK241" s="82"/>
      <c r="AL241" s="82"/>
      <c r="AM241" s="82"/>
      <c r="AN241" s="82"/>
    </row>
    <row r="242" spans="1:40" ht="24" customHeight="1" x14ac:dyDescent="0.25">
      <c r="A242" s="227"/>
      <c r="B242" s="230"/>
      <c r="C242" s="227"/>
      <c r="D242" s="388" t="s">
        <v>69</v>
      </c>
      <c r="E242" s="388"/>
      <c r="F242" s="388"/>
      <c r="G242" s="388"/>
      <c r="H242" s="366"/>
      <c r="I242" s="294">
        <f t="shared" ref="I242:N242" si="24">I220-H220+I216-H216</f>
        <v>800000.00000000012</v>
      </c>
      <c r="J242" s="295">
        <f t="shared" si="24"/>
        <v>-120609.5220063632</v>
      </c>
      <c r="K242" s="295">
        <f t="shared" si="24"/>
        <v>-125433.9028866178</v>
      </c>
      <c r="L242" s="295">
        <f t="shared" si="24"/>
        <v>-130451.25900208244</v>
      </c>
      <c r="M242" s="295">
        <f t="shared" si="24"/>
        <v>-135669.30936216578</v>
      </c>
      <c r="N242" s="295">
        <f t="shared" si="24"/>
        <v>-141096.08173665241</v>
      </c>
      <c r="O242" s="227"/>
      <c r="P242" s="232"/>
      <c r="Q242" s="94" t="str">
        <f>IF(SUM(I242:O242)=0,"-","Yes")</f>
        <v>Yes</v>
      </c>
      <c r="R242" s="81" t="s">
        <v>131</v>
      </c>
      <c r="S242" s="81"/>
      <c r="T242" s="82"/>
      <c r="U242" s="81"/>
      <c r="V242" s="81"/>
      <c r="W242" s="81"/>
      <c r="X242" s="81"/>
      <c r="Y242" s="82"/>
      <c r="Z242" s="82"/>
      <c r="AA242" s="82"/>
      <c r="AB242" s="82"/>
      <c r="AC242" s="82"/>
      <c r="AD242" s="82"/>
      <c r="AE242" s="82"/>
      <c r="AF242" s="82"/>
      <c r="AG242" s="82"/>
      <c r="AH242" s="82"/>
      <c r="AI242" s="82"/>
      <c r="AJ242" s="82"/>
      <c r="AK242" s="82"/>
      <c r="AL242" s="82"/>
      <c r="AM242" s="82"/>
      <c r="AN242" s="82"/>
    </row>
    <row r="243" spans="1:40" ht="24" customHeight="1" x14ac:dyDescent="0.25">
      <c r="A243" s="227"/>
      <c r="B243" s="230"/>
      <c r="C243" s="227"/>
      <c r="D243" s="388" t="s">
        <v>57</v>
      </c>
      <c r="E243" s="388"/>
      <c r="F243" s="388"/>
      <c r="G243" s="388"/>
      <c r="H243" s="366"/>
      <c r="I243" s="294">
        <f>I223</f>
        <v>1600000</v>
      </c>
      <c r="J243" s="295">
        <f>J223-I223</f>
        <v>0</v>
      </c>
      <c r="K243" s="295">
        <f>K223-J223</f>
        <v>0</v>
      </c>
      <c r="L243" s="295">
        <f>L223-K223</f>
        <v>0</v>
      </c>
      <c r="M243" s="295">
        <f>M223-L223</f>
        <v>0</v>
      </c>
      <c r="N243" s="295">
        <f>N223-M223</f>
        <v>0</v>
      </c>
      <c r="O243" s="227"/>
      <c r="P243" s="232"/>
      <c r="Q243" s="94" t="str">
        <f>IF(SUM(I243:O243)=0,"-","Yes")</f>
        <v>Yes</v>
      </c>
      <c r="R243" s="81" t="s">
        <v>131</v>
      </c>
      <c r="S243" s="81"/>
      <c r="T243" s="81"/>
      <c r="U243" s="81"/>
      <c r="V243" s="81"/>
      <c r="W243" s="81"/>
      <c r="X243" s="81"/>
      <c r="Y243" s="82"/>
      <c r="Z243" s="82"/>
      <c r="AA243" s="82"/>
      <c r="AB243" s="82"/>
      <c r="AC243" s="82"/>
      <c r="AD243" s="82"/>
      <c r="AE243" s="82"/>
      <c r="AF243" s="82"/>
      <c r="AG243" s="82"/>
      <c r="AH243" s="82"/>
      <c r="AI243" s="82"/>
      <c r="AJ243" s="82"/>
      <c r="AK243" s="82"/>
      <c r="AL243" s="82"/>
      <c r="AM243" s="82"/>
      <c r="AN243" s="82"/>
    </row>
    <row r="244" spans="1:40" ht="24" customHeight="1" x14ac:dyDescent="0.25">
      <c r="A244" s="227"/>
      <c r="B244" s="230"/>
      <c r="C244" s="227"/>
      <c r="D244" s="391" t="s">
        <v>101</v>
      </c>
      <c r="E244" s="392"/>
      <c r="F244" s="392"/>
      <c r="G244" s="392"/>
      <c r="H244" s="387"/>
      <c r="I244" s="298">
        <f t="shared" ref="I244:N244" si="25">SUM(I242:I243)</f>
        <v>2400000</v>
      </c>
      <c r="J244" s="299">
        <f t="shared" si="25"/>
        <v>-120609.5220063632</v>
      </c>
      <c r="K244" s="299">
        <f t="shared" si="25"/>
        <v>-125433.9028866178</v>
      </c>
      <c r="L244" s="299">
        <f t="shared" si="25"/>
        <v>-130451.25900208244</v>
      </c>
      <c r="M244" s="299">
        <f t="shared" si="25"/>
        <v>-135669.30936216578</v>
      </c>
      <c r="N244" s="299">
        <f t="shared" si="25"/>
        <v>-141096.08173665241</v>
      </c>
      <c r="O244" s="250"/>
      <c r="P244" s="232"/>
      <c r="Q244" s="94" t="str">
        <f>IF(SUM(I244:O244)=0,"-","Yes")</f>
        <v>Yes</v>
      </c>
      <c r="R244" s="81" t="s">
        <v>131</v>
      </c>
      <c r="S244" s="81"/>
      <c r="T244" s="81"/>
      <c r="U244" s="81"/>
      <c r="V244" s="81"/>
      <c r="W244" s="81"/>
      <c r="X244" s="81"/>
      <c r="Y244" s="82"/>
      <c r="Z244" s="82"/>
      <c r="AA244" s="82"/>
      <c r="AB244" s="82"/>
      <c r="AC244" s="82"/>
      <c r="AD244" s="82"/>
      <c r="AE244" s="82"/>
      <c r="AF244" s="82"/>
      <c r="AG244" s="82"/>
      <c r="AH244" s="82"/>
      <c r="AI244" s="82"/>
      <c r="AJ244" s="82"/>
      <c r="AK244" s="82"/>
      <c r="AL244" s="82"/>
      <c r="AM244" s="82"/>
      <c r="AN244" s="82"/>
    </row>
    <row r="245" spans="1:40" ht="24" customHeight="1" x14ac:dyDescent="0.25">
      <c r="A245" s="227"/>
      <c r="B245" s="230"/>
      <c r="C245" s="227"/>
      <c r="D245" s="227"/>
      <c r="E245" s="227"/>
      <c r="F245" s="227"/>
      <c r="I245" s="227"/>
      <c r="J245" s="227"/>
      <c r="K245" s="227"/>
      <c r="L245" s="227"/>
      <c r="M245" s="227"/>
      <c r="N245" s="227"/>
      <c r="O245" s="227"/>
      <c r="P245" s="227"/>
      <c r="Q245" s="94" t="s">
        <v>130</v>
      </c>
      <c r="R245" s="82" t="s">
        <v>131</v>
      </c>
      <c r="S245" s="82"/>
      <c r="T245" s="81"/>
      <c r="U245" s="82"/>
      <c r="V245" s="82"/>
      <c r="W245" s="82"/>
      <c r="X245" s="82"/>
      <c r="Y245" s="82"/>
      <c r="Z245" s="82"/>
      <c r="AA245" s="82"/>
      <c r="AB245" s="82"/>
      <c r="AC245" s="82"/>
      <c r="AD245" s="82"/>
      <c r="AE245" s="82"/>
      <c r="AF245" s="82"/>
      <c r="AG245" s="82"/>
      <c r="AH245" s="82"/>
      <c r="AI245" s="82"/>
      <c r="AJ245" s="82"/>
      <c r="AK245" s="82"/>
      <c r="AL245" s="82"/>
      <c r="AM245" s="82"/>
      <c r="AN245" s="82"/>
    </row>
    <row r="246" spans="1:40" ht="24" customHeight="1" x14ac:dyDescent="0.25">
      <c r="A246" s="227"/>
      <c r="B246" s="230"/>
      <c r="C246" s="227"/>
      <c r="D246" s="393" t="s">
        <v>84</v>
      </c>
      <c r="E246" s="394"/>
      <c r="F246" s="394"/>
      <c r="G246" s="394"/>
      <c r="H246" s="385"/>
      <c r="I246" s="300"/>
      <c r="J246" s="301">
        <f>I247</f>
        <v>1050139.6499999999</v>
      </c>
      <c r="K246" s="301">
        <f>J247</f>
        <v>1016740.9668825252</v>
      </c>
      <c r="L246" s="301">
        <f>K247</f>
        <v>1649583.1502928282</v>
      </c>
      <c r="M246" s="301">
        <f>L247</f>
        <v>2915149.5349531323</v>
      </c>
      <c r="N246" s="301">
        <f>M247</f>
        <v>4505513.9982245471</v>
      </c>
      <c r="O246" s="227"/>
      <c r="P246" s="232"/>
      <c r="Q246" s="94" t="str">
        <f>IF(SUM(I246:O246)=0,"-","Yes")</f>
        <v>Yes</v>
      </c>
      <c r="R246" s="81" t="s">
        <v>131</v>
      </c>
      <c r="S246" s="81"/>
      <c r="T246" s="82"/>
      <c r="U246" s="81"/>
      <c r="V246" s="81"/>
      <c r="W246" s="81"/>
      <c r="X246" s="81"/>
      <c r="Y246" s="82"/>
      <c r="Z246" s="82"/>
      <c r="AA246" s="82"/>
      <c r="AB246" s="82"/>
      <c r="AC246" s="82"/>
      <c r="AD246" s="82"/>
      <c r="AE246" s="82"/>
      <c r="AF246" s="82"/>
      <c r="AG246" s="82"/>
      <c r="AH246" s="82"/>
      <c r="AI246" s="82"/>
      <c r="AJ246" s="82"/>
      <c r="AK246" s="82"/>
      <c r="AL246" s="82"/>
      <c r="AM246" s="82"/>
      <c r="AN246" s="82"/>
    </row>
    <row r="247" spans="1:40" ht="24" customHeight="1" thickBot="1" x14ac:dyDescent="0.3">
      <c r="A247" s="227"/>
      <c r="B247" s="230"/>
      <c r="C247" s="227"/>
      <c r="D247" s="395" t="s">
        <v>85</v>
      </c>
      <c r="E247" s="395"/>
      <c r="F247" s="395"/>
      <c r="G247" s="395"/>
      <c r="H247" s="386"/>
      <c r="I247" s="302">
        <f>I237+I240+I244+I246</f>
        <v>1050139.6499999999</v>
      </c>
      <c r="J247" s="302">
        <f t="shared" ref="J247:N247" si="26">J237+J240+J244+J246</f>
        <v>1016740.9668825252</v>
      </c>
      <c r="K247" s="302">
        <f t="shared" si="26"/>
        <v>1649583.1502928282</v>
      </c>
      <c r="L247" s="302">
        <f t="shared" si="26"/>
        <v>2915149.5349531323</v>
      </c>
      <c r="M247" s="302">
        <f t="shared" si="26"/>
        <v>4505513.9982245471</v>
      </c>
      <c r="N247" s="302">
        <f t="shared" si="26"/>
        <v>6466098.9289959623</v>
      </c>
      <c r="O247" s="227"/>
      <c r="P247" s="232"/>
      <c r="Q247" s="94" t="str">
        <f>IF(SUM(I247:O247)=0,"-","Yes")</f>
        <v>Yes</v>
      </c>
      <c r="R247" s="81" t="s">
        <v>131</v>
      </c>
      <c r="S247" s="81"/>
      <c r="T247" s="81"/>
      <c r="U247" s="81"/>
      <c r="V247" s="81"/>
      <c r="W247" s="81"/>
      <c r="X247" s="81"/>
      <c r="Y247" s="82"/>
      <c r="Z247" s="82"/>
      <c r="AA247" s="82"/>
      <c r="AB247" s="82"/>
      <c r="AC247" s="82"/>
      <c r="AD247" s="82"/>
      <c r="AE247" s="82"/>
      <c r="AF247" s="82"/>
      <c r="AG247" s="82"/>
      <c r="AH247" s="82"/>
      <c r="AI247" s="82"/>
      <c r="AJ247" s="82"/>
      <c r="AK247" s="82"/>
      <c r="AL247" s="82"/>
      <c r="AM247" s="82"/>
      <c r="AN247" s="82"/>
    </row>
    <row r="248" spans="1:40" ht="15.6" thickTop="1" x14ac:dyDescent="0.25">
      <c r="A248" s="227"/>
      <c r="B248" s="230"/>
      <c r="C248" s="227"/>
      <c r="D248" s="227"/>
      <c r="E248" s="227"/>
      <c r="F248" s="227"/>
      <c r="G248" s="227"/>
      <c r="H248" s="227"/>
      <c r="I248" s="228">
        <f t="shared" ref="I248:N248" si="27">I247-I203</f>
        <v>0</v>
      </c>
      <c r="J248" s="228">
        <f t="shared" si="27"/>
        <v>0</v>
      </c>
      <c r="K248" s="228">
        <f t="shared" si="27"/>
        <v>0</v>
      </c>
      <c r="L248" s="228">
        <f t="shared" si="27"/>
        <v>0</v>
      </c>
      <c r="M248" s="228">
        <f t="shared" si="27"/>
        <v>0</v>
      </c>
      <c r="N248" s="228">
        <f t="shared" si="27"/>
        <v>0</v>
      </c>
      <c r="O248" s="227"/>
      <c r="P248" s="232"/>
      <c r="Q248" s="94" t="s">
        <v>130</v>
      </c>
      <c r="R248" s="81" t="s">
        <v>131</v>
      </c>
      <c r="S248" s="81"/>
      <c r="T248" s="81"/>
      <c r="U248" s="81"/>
      <c r="V248" s="81"/>
      <c r="W248" s="81"/>
      <c r="X248" s="81"/>
      <c r="Y248" s="82"/>
      <c r="Z248" s="82"/>
      <c r="AA248" s="82"/>
      <c r="AB248" s="82"/>
      <c r="AC248" s="82"/>
      <c r="AD248" s="82"/>
      <c r="AE248" s="82"/>
      <c r="AF248" s="82"/>
      <c r="AG248" s="82"/>
      <c r="AH248" s="82"/>
      <c r="AI248" s="82"/>
      <c r="AJ248" s="82"/>
      <c r="AK248" s="82"/>
      <c r="AL248" s="82"/>
      <c r="AM248" s="82"/>
      <c r="AN248" s="82"/>
    </row>
    <row r="249" spans="1:40" ht="15" x14ac:dyDescent="0.25">
      <c r="A249" s="227"/>
      <c r="B249" s="230"/>
      <c r="C249" s="227"/>
      <c r="D249" s="227"/>
      <c r="E249" s="227"/>
      <c r="F249" s="227"/>
      <c r="G249" s="227"/>
      <c r="H249" s="227"/>
      <c r="I249" s="228"/>
      <c r="J249" s="228"/>
      <c r="K249" s="228"/>
      <c r="L249" s="228"/>
      <c r="M249" s="228"/>
      <c r="N249" s="228"/>
      <c r="O249" s="227"/>
      <c r="P249" s="232"/>
      <c r="Q249" s="94" t="s">
        <v>130</v>
      </c>
      <c r="R249" s="81"/>
      <c r="S249" s="81"/>
      <c r="T249" s="81"/>
      <c r="U249" s="81"/>
      <c r="V249" s="81"/>
      <c r="W249" s="81"/>
      <c r="X249" s="81"/>
      <c r="Y249" s="82"/>
      <c r="Z249" s="82"/>
      <c r="AA249" s="82"/>
      <c r="AB249" s="82"/>
      <c r="AC249" s="82"/>
      <c r="AD249" s="82"/>
      <c r="AE249" s="82"/>
      <c r="AF249" s="82"/>
      <c r="AG249" s="82"/>
      <c r="AH249" s="82"/>
      <c r="AI249" s="82"/>
      <c r="AJ249" s="82"/>
      <c r="AK249" s="82"/>
      <c r="AL249" s="82"/>
      <c r="AM249" s="82"/>
      <c r="AN249" s="82"/>
    </row>
    <row r="250" spans="1:40" ht="25.5" customHeight="1" x14ac:dyDescent="0.25">
      <c r="A250" s="227"/>
      <c r="B250" s="230"/>
      <c r="C250" s="317"/>
      <c r="D250" s="318"/>
      <c r="E250" s="318" t="s">
        <v>197</v>
      </c>
      <c r="F250" s="318"/>
      <c r="G250" s="318"/>
      <c r="H250" s="318"/>
      <c r="I250" s="318"/>
      <c r="J250" s="318"/>
      <c r="K250" s="318"/>
      <c r="L250" s="318"/>
      <c r="M250" s="318"/>
      <c r="N250" s="318"/>
      <c r="O250" s="227"/>
      <c r="P250" s="232"/>
      <c r="Q250" s="94" t="s">
        <v>130</v>
      </c>
      <c r="R250" s="81"/>
      <c r="S250" s="81"/>
      <c r="T250" s="81"/>
      <c r="U250" s="81"/>
      <c r="V250" s="81"/>
      <c r="W250" s="81"/>
      <c r="X250" s="81"/>
      <c r="Y250" s="82"/>
      <c r="Z250" s="82"/>
      <c r="AA250" s="82"/>
      <c r="AB250" s="82"/>
      <c r="AC250" s="82"/>
      <c r="AD250" s="82"/>
      <c r="AE250" s="82"/>
      <c r="AF250" s="82"/>
      <c r="AG250" s="82"/>
      <c r="AH250" s="82"/>
      <c r="AI250" s="82"/>
      <c r="AJ250" s="82"/>
      <c r="AK250" s="82"/>
      <c r="AL250" s="82"/>
      <c r="AM250" s="82"/>
      <c r="AN250" s="82"/>
    </row>
    <row r="251" spans="1:40" ht="15.6" x14ac:dyDescent="0.25">
      <c r="A251" s="227"/>
      <c r="B251" s="230" t="s">
        <v>32</v>
      </c>
      <c r="C251" s="227"/>
      <c r="D251" s="227"/>
      <c r="E251" s="227"/>
      <c r="F251" s="227"/>
      <c r="G251" s="77"/>
      <c r="H251" s="77"/>
      <c r="I251" s="231"/>
      <c r="J251" s="227"/>
      <c r="K251" s="227"/>
      <c r="L251" s="227"/>
      <c r="M251" s="227"/>
      <c r="N251" s="227"/>
      <c r="O251" s="227"/>
      <c r="P251" s="232"/>
      <c r="Q251" s="94" t="s">
        <v>130</v>
      </c>
      <c r="R251" s="81"/>
      <c r="S251" s="81"/>
      <c r="T251" s="81"/>
      <c r="U251" s="81"/>
      <c r="V251" s="81"/>
      <c r="W251" s="81"/>
      <c r="X251" s="81"/>
      <c r="Y251" s="82"/>
      <c r="Z251" s="82"/>
      <c r="AA251" s="82"/>
      <c r="AB251" s="82"/>
      <c r="AC251" s="82"/>
      <c r="AD251" s="82"/>
      <c r="AE251" s="82"/>
      <c r="AF251" s="82"/>
      <c r="AG251" s="82"/>
      <c r="AH251" s="82"/>
      <c r="AI251" s="82"/>
      <c r="AJ251" s="82"/>
      <c r="AK251" s="82"/>
      <c r="AL251" s="82"/>
      <c r="AM251" s="82"/>
      <c r="AN251" s="82"/>
    </row>
    <row r="252" spans="1:40" ht="15" x14ac:dyDescent="0.25">
      <c r="A252" s="227"/>
      <c r="B252" s="230"/>
      <c r="C252" s="227"/>
      <c r="D252" s="227"/>
      <c r="E252" s="227"/>
      <c r="F252" s="227"/>
      <c r="G252" s="227"/>
      <c r="H252" s="227"/>
      <c r="I252" s="231"/>
      <c r="J252" s="227"/>
      <c r="K252" s="227"/>
      <c r="L252" s="227"/>
      <c r="M252" s="227"/>
      <c r="N252" s="227"/>
      <c r="O252" s="227"/>
      <c r="P252" s="232"/>
      <c r="Q252" s="94" t="s">
        <v>130</v>
      </c>
      <c r="R252" s="81"/>
      <c r="S252" s="81"/>
      <c r="T252" s="81"/>
      <c r="U252" s="81"/>
      <c r="V252" s="81"/>
      <c r="W252" s="81"/>
      <c r="X252" s="81"/>
      <c r="Y252" s="82"/>
      <c r="Z252" s="82"/>
      <c r="AA252" s="82"/>
      <c r="AB252" s="82"/>
      <c r="AC252" s="82"/>
      <c r="AD252" s="82"/>
      <c r="AE252" s="82"/>
      <c r="AF252" s="82"/>
      <c r="AG252" s="82"/>
      <c r="AH252" s="82"/>
      <c r="AI252" s="82"/>
      <c r="AJ252" s="82"/>
      <c r="AK252" s="82"/>
      <c r="AL252" s="82"/>
      <c r="AM252" s="82"/>
      <c r="AN252" s="82"/>
    </row>
    <row r="253" spans="1:40" ht="15.6" x14ac:dyDescent="0.25">
      <c r="A253" s="227"/>
      <c r="B253" s="230" t="s">
        <v>32</v>
      </c>
      <c r="C253" s="227"/>
      <c r="D253" s="227"/>
      <c r="E253" s="77" t="s">
        <v>198</v>
      </c>
      <c r="F253" s="77"/>
      <c r="G253" s="77"/>
      <c r="H253" s="77"/>
      <c r="I253" s="231"/>
      <c r="J253" s="227"/>
      <c r="K253" s="227"/>
      <c r="L253" s="227"/>
      <c r="M253" s="227"/>
      <c r="N253" s="227"/>
      <c r="O253" s="227"/>
      <c r="P253" s="232"/>
      <c r="Q253" s="94" t="s">
        <v>130</v>
      </c>
      <c r="R253" s="81"/>
      <c r="S253" s="81"/>
      <c r="T253" s="81"/>
      <c r="U253" s="81"/>
      <c r="V253" s="81"/>
      <c r="W253" s="81"/>
      <c r="X253" s="81"/>
      <c r="Y253" s="82"/>
      <c r="Z253" s="82"/>
      <c r="AA253" s="82"/>
      <c r="AB253" s="82"/>
      <c r="AC253" s="82"/>
      <c r="AD253" s="82"/>
      <c r="AE253" s="82"/>
      <c r="AF253" s="82"/>
      <c r="AG253" s="82"/>
      <c r="AH253" s="82"/>
      <c r="AI253" s="82"/>
      <c r="AJ253" s="82"/>
      <c r="AK253" s="82"/>
      <c r="AL253" s="82"/>
      <c r="AM253" s="82"/>
      <c r="AN253" s="82"/>
    </row>
    <row r="254" spans="1:40" ht="27" customHeight="1" x14ac:dyDescent="0.25">
      <c r="A254" s="227"/>
      <c r="B254" s="230"/>
      <c r="C254" s="227"/>
      <c r="D254" s="550" t="s">
        <v>234</v>
      </c>
      <c r="E254" s="550"/>
      <c r="F254" s="550"/>
      <c r="G254" s="550" t="s">
        <v>43</v>
      </c>
      <c r="H254" s="549" t="s">
        <v>233</v>
      </c>
      <c r="I254" s="549"/>
      <c r="J254" s="549"/>
      <c r="K254" s="549"/>
      <c r="L254" s="549"/>
      <c r="M254" s="227"/>
      <c r="N254" s="227"/>
      <c r="O254" s="227"/>
      <c r="P254" s="232"/>
      <c r="Q254" s="94" t="s">
        <v>130</v>
      </c>
      <c r="R254" s="81"/>
      <c r="S254" s="81"/>
      <c r="T254" s="81"/>
      <c r="U254" s="137"/>
      <c r="V254" s="81"/>
      <c r="W254" s="81"/>
      <c r="X254" s="81"/>
      <c r="Y254" s="82"/>
      <c r="Z254" s="82"/>
      <c r="AA254" s="82"/>
      <c r="AB254" s="82"/>
      <c r="AC254" s="82"/>
      <c r="AD254" s="82"/>
      <c r="AE254" s="82"/>
      <c r="AF254" s="82"/>
      <c r="AG254" s="82"/>
      <c r="AH254" s="82"/>
      <c r="AI254" s="82"/>
      <c r="AJ254" s="82"/>
      <c r="AK254" s="82"/>
      <c r="AL254" s="82"/>
      <c r="AM254" s="82"/>
      <c r="AN254" s="82"/>
    </row>
    <row r="255" spans="1:40" ht="25.5" customHeight="1" x14ac:dyDescent="0.25">
      <c r="A255" s="227"/>
      <c r="B255" s="230" t="s">
        <v>32</v>
      </c>
      <c r="C255" s="227"/>
      <c r="D255" s="550"/>
      <c r="E255" s="550"/>
      <c r="F255" s="550"/>
      <c r="G255" s="550"/>
      <c r="H255" s="364">
        <f>+J94</f>
        <v>2024</v>
      </c>
      <c r="I255" s="364">
        <f>+K94</f>
        <v>2025</v>
      </c>
      <c r="J255" s="364">
        <f>+L94</f>
        <v>2026</v>
      </c>
      <c r="K255" s="364">
        <f>+M94</f>
        <v>2027</v>
      </c>
      <c r="L255" s="364">
        <f>+N94</f>
        <v>2028</v>
      </c>
      <c r="M255" s="227"/>
      <c r="N255" s="227"/>
      <c r="O255" s="227"/>
      <c r="P255" s="232"/>
      <c r="Q255" s="94" t="s">
        <v>130</v>
      </c>
      <c r="R255" s="81"/>
      <c r="S255" s="81"/>
      <c r="T255" s="81"/>
      <c r="U255" s="137" t="s">
        <v>8</v>
      </c>
      <c r="V255" s="81"/>
      <c r="W255" s="81"/>
      <c r="X255" s="81"/>
      <c r="Y255" s="82"/>
      <c r="Z255" s="82"/>
      <c r="AA255" s="82"/>
      <c r="AB255" s="82"/>
      <c r="AC255" s="82"/>
      <c r="AD255" s="82"/>
      <c r="AE255" s="82"/>
      <c r="AF255" s="82"/>
      <c r="AG255" s="82"/>
      <c r="AH255" s="82"/>
      <c r="AI255" s="82"/>
      <c r="AJ255" s="82"/>
      <c r="AK255" s="82"/>
      <c r="AL255" s="82"/>
      <c r="AM255" s="82"/>
      <c r="AN255" s="82"/>
    </row>
    <row r="256" spans="1:40" ht="20.7" customHeight="1" x14ac:dyDescent="0.25">
      <c r="A256" s="227"/>
      <c r="B256" s="230" t="str">
        <f t="shared" ref="B256:B261" si="28">IF(D256="-","#N/A","A")</f>
        <v>A</v>
      </c>
      <c r="C256" s="227"/>
      <c r="D256" s="540" t="str">
        <f>IF('ادخال  التوقعات المالية'!B60=0,"",'ادخال  التوقعات المالية'!B60)</f>
        <v>صنف 1</v>
      </c>
      <c r="E256" s="540"/>
      <c r="F256" s="540"/>
      <c r="G256" s="303">
        <f>'ادخال  التوقعات المالية'!C60</f>
        <v>1900</v>
      </c>
      <c r="H256" s="304">
        <f>+'ادخال  التوقعات المالية'!E60</f>
        <v>200</v>
      </c>
      <c r="I256" s="304">
        <f>+'ادخال  التوقعات المالية'!F60</f>
        <v>336.05</v>
      </c>
      <c r="J256" s="304">
        <f>+'ادخال  التوقعات المالية'!G60</f>
        <v>413.6</v>
      </c>
      <c r="K256" s="304">
        <f>+'ادخال  التوقعات المالية'!H60</f>
        <v>465.3</v>
      </c>
      <c r="L256" s="304">
        <f>+'ادخال  التوقعات المالية'!I60</f>
        <v>517</v>
      </c>
      <c r="M256" s="271"/>
      <c r="N256" s="271"/>
      <c r="O256" s="227"/>
      <c r="P256" s="232"/>
      <c r="Q256" s="94" t="str">
        <f t="shared" ref="Q256:Q265" si="29">IF(SUM(H256:M256)&gt;0,"Yes","-")</f>
        <v>Yes</v>
      </c>
      <c r="R256" s="81"/>
      <c r="S256" s="81"/>
      <c r="T256" s="81"/>
      <c r="U256" s="137">
        <f>IF('ادخال  التوقعات المالية'!C60=0,"",'ادخال  التوقعات المالية'!C60)</f>
        <v>1900</v>
      </c>
      <c r="V256" s="81"/>
      <c r="W256" s="81"/>
      <c r="X256" s="81"/>
      <c r="Y256" s="82"/>
      <c r="Z256" s="82"/>
      <c r="AA256" s="82"/>
      <c r="AB256" s="82"/>
      <c r="AC256" s="82"/>
      <c r="AD256" s="82"/>
      <c r="AE256" s="82"/>
      <c r="AF256" s="82"/>
      <c r="AG256" s="82"/>
      <c r="AH256" s="82"/>
      <c r="AI256" s="82"/>
      <c r="AJ256" s="82"/>
      <c r="AK256" s="82"/>
      <c r="AL256" s="82"/>
      <c r="AM256" s="82"/>
      <c r="AN256" s="82"/>
    </row>
    <row r="257" spans="1:40" ht="20.7" customHeight="1" x14ac:dyDescent="0.25">
      <c r="A257" s="227"/>
      <c r="B257" s="230" t="str">
        <f t="shared" si="28"/>
        <v>A</v>
      </c>
      <c r="C257" s="227"/>
      <c r="D257" s="540" t="str">
        <f>IF('ادخال  التوقعات المالية'!B61=0,"",'ادخال  التوقعات المالية'!B61)</f>
        <v>صنف 2</v>
      </c>
      <c r="E257" s="540"/>
      <c r="F257" s="540"/>
      <c r="G257" s="303">
        <f>'ادخال  التوقعات المالية'!C61</f>
        <v>1200</v>
      </c>
      <c r="H257" s="304">
        <f>+'ادخال  التوقعات المالية'!E61</f>
        <v>300</v>
      </c>
      <c r="I257" s="304">
        <f>+'ادخال  التوقعات المالية'!F61</f>
        <v>796.25</v>
      </c>
      <c r="J257" s="304">
        <f>+'ادخال  التوقعات المالية'!G61</f>
        <v>980</v>
      </c>
      <c r="K257" s="304">
        <f>+'ادخال  التوقعات المالية'!H61</f>
        <v>1102.5</v>
      </c>
      <c r="L257" s="304">
        <f>+'ادخال  التوقعات المالية'!I61</f>
        <v>1225</v>
      </c>
      <c r="M257" s="271"/>
      <c r="N257" s="271"/>
      <c r="O257" s="227"/>
      <c r="P257" s="232"/>
      <c r="Q257" s="94" t="str">
        <f t="shared" si="29"/>
        <v>Yes</v>
      </c>
      <c r="R257" s="81"/>
      <c r="S257" s="81"/>
      <c r="T257" s="81"/>
      <c r="U257" s="137">
        <f>IF('ادخال  التوقعات المالية'!C61=0,"",'ادخال  التوقعات المالية'!C61)</f>
        <v>1200</v>
      </c>
      <c r="V257" s="81"/>
      <c r="W257" s="81"/>
      <c r="X257" s="81"/>
      <c r="Y257" s="82"/>
      <c r="Z257" s="82"/>
      <c r="AA257" s="82"/>
      <c r="AB257" s="82"/>
      <c r="AC257" s="82"/>
      <c r="AD257" s="82"/>
      <c r="AE257" s="82"/>
      <c r="AF257" s="82"/>
      <c r="AG257" s="82"/>
      <c r="AH257" s="82"/>
      <c r="AI257" s="82"/>
      <c r="AJ257" s="82"/>
      <c r="AK257" s="82"/>
      <c r="AL257" s="82"/>
      <c r="AM257" s="82"/>
      <c r="AN257" s="82"/>
    </row>
    <row r="258" spans="1:40" ht="20.7" customHeight="1" x14ac:dyDescent="0.25">
      <c r="A258" s="227"/>
      <c r="B258" s="230" t="str">
        <f t="shared" si="28"/>
        <v>A</v>
      </c>
      <c r="C258" s="227"/>
      <c r="D258" s="540" t="str">
        <f>IF('ادخال  التوقعات المالية'!B62=0,"",'ادخال  التوقعات المالية'!B62)</f>
        <v>صنف 3</v>
      </c>
      <c r="E258" s="540"/>
      <c r="F258" s="540"/>
      <c r="G258" s="303">
        <f>'ادخال  التوقعات المالية'!C62</f>
        <v>750</v>
      </c>
      <c r="H258" s="304">
        <f>+'ادخال  التوقعات المالية'!E62</f>
        <v>600</v>
      </c>
      <c r="I258" s="304">
        <f>+'ادخال  التوقعات المالية'!F62</f>
        <v>1062.1000000000001</v>
      </c>
      <c r="J258" s="304">
        <f>+'ادخال  التوقعات المالية'!G62</f>
        <v>1307.2</v>
      </c>
      <c r="K258" s="304">
        <f>+'ادخال  التوقعات المالية'!H62</f>
        <v>1470.6000000000001</v>
      </c>
      <c r="L258" s="304">
        <f>+'ادخال  التوقعات المالية'!I62</f>
        <v>1634</v>
      </c>
      <c r="M258" s="271"/>
      <c r="N258" s="271"/>
      <c r="O258" s="227"/>
      <c r="P258" s="232"/>
      <c r="Q258" s="94" t="str">
        <f t="shared" si="29"/>
        <v>Yes</v>
      </c>
      <c r="R258" s="81"/>
      <c r="S258" s="81"/>
      <c r="T258" s="81"/>
      <c r="U258" s="137">
        <f>IF('ادخال  التوقعات المالية'!C62=0,"",'ادخال  التوقعات المالية'!C62)</f>
        <v>750</v>
      </c>
      <c r="V258" s="81"/>
      <c r="W258" s="81"/>
      <c r="X258" s="81"/>
      <c r="Y258" s="82"/>
      <c r="Z258" s="82"/>
      <c r="AA258" s="82"/>
      <c r="AB258" s="82"/>
      <c r="AC258" s="82"/>
      <c r="AD258" s="82"/>
      <c r="AE258" s="82"/>
      <c r="AF258" s="82"/>
      <c r="AG258" s="82"/>
      <c r="AH258" s="82"/>
      <c r="AI258" s="82"/>
      <c r="AJ258" s="82"/>
      <c r="AK258" s="82"/>
      <c r="AL258" s="82"/>
      <c r="AM258" s="82"/>
      <c r="AN258" s="82"/>
    </row>
    <row r="259" spans="1:40" ht="20.7" customHeight="1" x14ac:dyDescent="0.25">
      <c r="A259" s="227"/>
      <c r="B259" s="230" t="str">
        <f t="shared" si="28"/>
        <v>A</v>
      </c>
      <c r="C259" s="227"/>
      <c r="D259" s="540" t="str">
        <f>IF('ادخال  التوقعات المالية'!B63=0,"",'ادخال  التوقعات المالية'!B63)</f>
        <v>صنف 4</v>
      </c>
      <c r="E259" s="540"/>
      <c r="F259" s="540"/>
      <c r="G259" s="303">
        <f>'ادخال  التوقعات المالية'!C63</f>
        <v>540</v>
      </c>
      <c r="H259" s="304">
        <f>+'ادخال  التوقعات المالية'!E63</f>
        <v>1000</v>
      </c>
      <c r="I259" s="304">
        <f>+'ادخال  التوقعات المالية'!F63</f>
        <v>1946.75</v>
      </c>
      <c r="J259" s="304">
        <f>+'ادخال  التوقعات المالية'!G63</f>
        <v>2396</v>
      </c>
      <c r="K259" s="304">
        <f>+'ادخال  التوقعات المالية'!H63</f>
        <v>2695.5</v>
      </c>
      <c r="L259" s="304">
        <f>+'ادخال  التوقعات المالية'!I63</f>
        <v>2995</v>
      </c>
      <c r="M259" s="271"/>
      <c r="N259" s="271"/>
      <c r="O259" s="227"/>
      <c r="P259" s="232"/>
      <c r="Q259" s="94" t="str">
        <f t="shared" si="29"/>
        <v>Yes</v>
      </c>
      <c r="R259" s="81"/>
      <c r="S259" s="81"/>
      <c r="T259" s="81"/>
      <c r="U259" s="137">
        <f>IF('ادخال  التوقعات المالية'!C63=0,"",'ادخال  التوقعات المالية'!C63)</f>
        <v>540</v>
      </c>
      <c r="V259" s="81"/>
      <c r="W259" s="81"/>
      <c r="X259" s="81"/>
      <c r="Y259" s="82"/>
      <c r="Z259" s="82"/>
      <c r="AA259" s="82"/>
      <c r="AB259" s="82"/>
      <c r="AC259" s="82"/>
      <c r="AD259" s="82"/>
      <c r="AE259" s="82"/>
      <c r="AF259" s="82"/>
      <c r="AG259" s="82"/>
      <c r="AH259" s="82"/>
      <c r="AI259" s="82"/>
      <c r="AJ259" s="82"/>
      <c r="AK259" s="82"/>
      <c r="AL259" s="82"/>
      <c r="AM259" s="82"/>
      <c r="AN259" s="82"/>
    </row>
    <row r="260" spans="1:40" ht="20.7" customHeight="1" x14ac:dyDescent="0.25">
      <c r="A260" s="227"/>
      <c r="B260" s="230" t="str">
        <f t="shared" si="28"/>
        <v>A</v>
      </c>
      <c r="C260" s="227"/>
      <c r="D260" s="540" t="str">
        <f>IF('ادخال  التوقعات المالية'!B64=0,"",'ادخال  التوقعات المالية'!B64)</f>
        <v>صنف 5</v>
      </c>
      <c r="E260" s="540"/>
      <c r="F260" s="540"/>
      <c r="G260" s="303">
        <f>'ادخال  التوقعات المالية'!C64</f>
        <v>540</v>
      </c>
      <c r="H260" s="304">
        <f>+'ادخال  التوقعات المالية'!E64</f>
        <v>2246.2000000000003</v>
      </c>
      <c r="I260" s="304">
        <f>+'ادخال  التوقعات المالية'!F64</f>
        <v>2654.6</v>
      </c>
      <c r="J260" s="304">
        <f>+'ادخال  التوقعات المالية'!G64</f>
        <v>3267.2000000000003</v>
      </c>
      <c r="K260" s="304">
        <f>+'ادخال  التوقعات المالية'!H64</f>
        <v>3675.6</v>
      </c>
      <c r="L260" s="304">
        <f>+'ادخال  التوقعات المالية'!I64</f>
        <v>4084</v>
      </c>
      <c r="M260" s="271"/>
      <c r="N260" s="271"/>
      <c r="O260" s="227"/>
      <c r="P260" s="232"/>
      <c r="Q260" s="94" t="str">
        <f t="shared" si="29"/>
        <v>Yes</v>
      </c>
      <c r="R260" s="81"/>
      <c r="S260" s="81"/>
      <c r="T260" s="81"/>
      <c r="U260" s="137">
        <f>IF('ادخال  التوقعات المالية'!C64=0,"",'ادخال  التوقعات المالية'!C64)</f>
        <v>540</v>
      </c>
      <c r="V260" s="81"/>
      <c r="W260" s="81"/>
      <c r="X260" s="81"/>
      <c r="Y260" s="82"/>
      <c r="Z260" s="82"/>
      <c r="AA260" s="82"/>
      <c r="AB260" s="82"/>
      <c r="AC260" s="82"/>
      <c r="AD260" s="82"/>
      <c r="AE260" s="82"/>
      <c r="AF260" s="82"/>
      <c r="AG260" s="82"/>
      <c r="AH260" s="82"/>
      <c r="AI260" s="82"/>
      <c r="AJ260" s="82"/>
      <c r="AK260" s="82"/>
      <c r="AL260" s="82"/>
      <c r="AM260" s="82"/>
      <c r="AN260" s="82"/>
    </row>
    <row r="261" spans="1:40" ht="20.7" customHeight="1" x14ac:dyDescent="0.25">
      <c r="A261" s="227"/>
      <c r="B261" s="230" t="str">
        <f t="shared" si="28"/>
        <v>A</v>
      </c>
      <c r="C261" s="227"/>
      <c r="D261" s="540" t="str">
        <f>IF('ادخال  التوقعات المالية'!B65=0,"",'ادخال  التوقعات المالية'!B65)</f>
        <v>صنف 6</v>
      </c>
      <c r="E261" s="540"/>
      <c r="F261" s="540"/>
      <c r="G261" s="303">
        <f>'ادخال  التوقعات المالية'!C65</f>
        <v>360</v>
      </c>
      <c r="H261" s="304">
        <f>+'ادخال  التوقعات المالية'!E65</f>
        <v>3369.3</v>
      </c>
      <c r="I261" s="304">
        <f>+'ادخال  التوقعات المالية'!F65</f>
        <v>3981.9</v>
      </c>
      <c r="J261" s="304">
        <f>+'ادخال  التوقعات المالية'!G65</f>
        <v>4900.8</v>
      </c>
      <c r="K261" s="304">
        <f>+'ادخال  التوقعات المالية'!H65</f>
        <v>5513.4000000000005</v>
      </c>
      <c r="L261" s="304">
        <f>+'ادخال  التوقعات المالية'!I65</f>
        <v>6126</v>
      </c>
      <c r="M261" s="227"/>
      <c r="N261" s="227"/>
      <c r="O261" s="227"/>
      <c r="P261" s="232"/>
      <c r="Q261" s="94" t="str">
        <f t="shared" si="29"/>
        <v>Yes</v>
      </c>
      <c r="R261" s="81"/>
      <c r="S261" s="81"/>
      <c r="T261" s="81"/>
      <c r="U261" s="137">
        <f>IF('ادخال  التوقعات المالية'!C65=0,"",'ادخال  التوقعات المالية'!C65)</f>
        <v>360</v>
      </c>
      <c r="V261" s="81"/>
      <c r="W261" s="81"/>
      <c r="X261" s="81"/>
      <c r="Y261" s="82"/>
      <c r="Z261" s="82"/>
      <c r="AA261" s="82"/>
      <c r="AB261" s="82"/>
      <c r="AC261" s="82"/>
      <c r="AD261" s="82"/>
      <c r="AE261" s="82"/>
      <c r="AF261" s="82"/>
      <c r="AG261" s="82"/>
      <c r="AH261" s="82"/>
      <c r="AI261" s="82"/>
      <c r="AJ261" s="82"/>
      <c r="AK261" s="82"/>
      <c r="AL261" s="82"/>
      <c r="AM261" s="82"/>
      <c r="AN261" s="82"/>
    </row>
    <row r="262" spans="1:40" ht="20.7" customHeight="1" x14ac:dyDescent="0.25">
      <c r="A262" s="227"/>
      <c r="B262" s="230" t="str">
        <f>IF(D262="-","#N/A","A")</f>
        <v>A</v>
      </c>
      <c r="C262" s="227"/>
      <c r="D262" s="540" t="str">
        <f>IF('ادخال  التوقعات المالية'!B66=0,"",'ادخال  التوقعات المالية'!B66)</f>
        <v>صنف 7</v>
      </c>
      <c r="E262" s="540"/>
      <c r="F262" s="540"/>
      <c r="G262" s="303">
        <f>'ادخال  التوقعات المالية'!C66</f>
        <v>360</v>
      </c>
      <c r="H262" s="304">
        <f>+'ادخال  التوقعات المالية'!E66</f>
        <v>449.35</v>
      </c>
      <c r="I262" s="304">
        <f>+'ادخال  التوقعات المالية'!F66</f>
        <v>531.05000000000007</v>
      </c>
      <c r="J262" s="304">
        <f>+'ادخال  التوقعات المالية'!G66</f>
        <v>653.6</v>
      </c>
      <c r="K262" s="304">
        <f>+'ادخال  التوقعات المالية'!H66</f>
        <v>735.30000000000007</v>
      </c>
      <c r="L262" s="304">
        <f>+'ادخال  التوقعات المالية'!I66</f>
        <v>817</v>
      </c>
      <c r="M262" s="227"/>
      <c r="N262" s="227"/>
      <c r="O262" s="227"/>
      <c r="P262" s="232"/>
      <c r="Q262" s="94" t="str">
        <f t="shared" si="29"/>
        <v>Yes</v>
      </c>
      <c r="R262" s="81"/>
      <c r="S262" s="81"/>
      <c r="T262" s="81"/>
      <c r="U262" s="137">
        <f>IF('ادخال  التوقعات المالية'!C66=0,"",'ادخال  التوقعات المالية'!C66)</f>
        <v>360</v>
      </c>
      <c r="V262" s="81"/>
      <c r="W262" s="81"/>
      <c r="X262" s="81"/>
      <c r="Y262" s="82"/>
      <c r="Z262" s="82"/>
      <c r="AA262" s="82"/>
      <c r="AB262" s="82"/>
      <c r="AC262" s="82"/>
      <c r="AD262" s="82"/>
      <c r="AE262" s="82"/>
      <c r="AF262" s="82"/>
      <c r="AG262" s="82"/>
      <c r="AH262" s="82"/>
      <c r="AI262" s="82"/>
      <c r="AJ262" s="82"/>
      <c r="AK262" s="82"/>
      <c r="AL262" s="82"/>
      <c r="AM262" s="82"/>
      <c r="AN262" s="82"/>
    </row>
    <row r="263" spans="1:40" ht="20.25" hidden="1" customHeight="1" x14ac:dyDescent="0.25">
      <c r="A263" s="227"/>
      <c r="B263" s="230" t="str">
        <f>IF(D263="-","#N/A","A")</f>
        <v>A</v>
      </c>
      <c r="C263" s="227"/>
      <c r="D263" s="540" t="str">
        <f>IF('ادخال  التوقعات المالية'!B67=0,"",'ادخال  التوقعات المالية'!B67)</f>
        <v/>
      </c>
      <c r="E263" s="540"/>
      <c r="F263" s="540"/>
      <c r="G263" s="303">
        <f>'ادخال  التوقعات المالية'!C67</f>
        <v>0</v>
      </c>
      <c r="H263" s="304">
        <f>+'ادخال  التوقعات المالية'!E67</f>
        <v>0</v>
      </c>
      <c r="I263" s="304">
        <f>+'ادخال  التوقعات المالية'!F67</f>
        <v>0</v>
      </c>
      <c r="J263" s="304">
        <f>+'ادخال  التوقعات المالية'!G67</f>
        <v>0</v>
      </c>
      <c r="K263" s="304">
        <f>+'ادخال  التوقعات المالية'!H67</f>
        <v>0</v>
      </c>
      <c r="L263" s="304">
        <f>+'ادخال  التوقعات المالية'!I67</f>
        <v>0</v>
      </c>
      <c r="M263" s="227"/>
      <c r="N263" s="227"/>
      <c r="O263" s="227"/>
      <c r="P263" s="232"/>
      <c r="Q263" s="94" t="str">
        <f t="shared" si="29"/>
        <v>-</v>
      </c>
      <c r="R263" s="81"/>
      <c r="S263" s="81"/>
      <c r="T263" s="81"/>
      <c r="U263" s="137" t="str">
        <f>IF('ادخال  التوقعات المالية'!C67=0,"",'ادخال  التوقعات المالية'!C67)</f>
        <v/>
      </c>
      <c r="V263" s="81"/>
      <c r="W263" s="81"/>
      <c r="X263" s="81"/>
      <c r="Y263" s="82"/>
      <c r="Z263" s="82"/>
      <c r="AA263" s="82"/>
      <c r="AB263" s="82"/>
      <c r="AC263" s="82"/>
      <c r="AD263" s="82"/>
      <c r="AE263" s="82"/>
      <c r="AF263" s="82"/>
      <c r="AG263" s="82"/>
      <c r="AH263" s="82"/>
      <c r="AI263" s="82"/>
      <c r="AJ263" s="82"/>
      <c r="AK263" s="82"/>
      <c r="AL263" s="82"/>
      <c r="AM263" s="82"/>
      <c r="AN263" s="82"/>
    </row>
    <row r="264" spans="1:40" ht="20.25" hidden="1" customHeight="1" x14ac:dyDescent="0.25">
      <c r="A264" s="227"/>
      <c r="B264" s="230" t="str">
        <f>IF(D264="-","#N/A","A")</f>
        <v>A</v>
      </c>
      <c r="C264" s="227"/>
      <c r="D264" s="540" t="str">
        <f>IF('ادخال  التوقعات المالية'!B68=0,"",'ادخال  التوقعات المالية'!B68)</f>
        <v/>
      </c>
      <c r="E264" s="540"/>
      <c r="F264" s="540"/>
      <c r="G264" s="303">
        <f>'ادخال  التوقعات المالية'!C68</f>
        <v>0</v>
      </c>
      <c r="H264" s="304">
        <f>+'ادخال  التوقعات المالية'!E68</f>
        <v>0</v>
      </c>
      <c r="I264" s="304">
        <f>+'ادخال  التوقعات المالية'!F68</f>
        <v>0</v>
      </c>
      <c r="J264" s="304">
        <f>+'ادخال  التوقعات المالية'!G68</f>
        <v>0</v>
      </c>
      <c r="K264" s="304">
        <f>+'ادخال  التوقعات المالية'!H68</f>
        <v>0</v>
      </c>
      <c r="L264" s="304">
        <f>+'ادخال  التوقعات المالية'!I68</f>
        <v>0</v>
      </c>
      <c r="M264" s="227"/>
      <c r="N264" s="227"/>
      <c r="O264" s="227"/>
      <c r="P264" s="232"/>
      <c r="Q264" s="94" t="str">
        <f t="shared" si="29"/>
        <v>-</v>
      </c>
      <c r="R264" s="81"/>
      <c r="S264" s="81"/>
      <c r="T264" s="81"/>
      <c r="U264" s="81" t="str">
        <f>IF('ادخال  التوقعات المالية'!C68=0,"",'ادخال  التوقعات المالية'!C68)</f>
        <v/>
      </c>
      <c r="V264" s="81"/>
      <c r="W264" s="81"/>
      <c r="X264" s="81"/>
      <c r="Y264" s="82"/>
      <c r="Z264" s="82"/>
      <c r="AA264" s="82"/>
      <c r="AB264" s="82"/>
      <c r="AC264" s="82"/>
      <c r="AD264" s="82"/>
      <c r="AE264" s="82"/>
      <c r="AF264" s="82"/>
      <c r="AG264" s="82"/>
      <c r="AH264" s="82"/>
      <c r="AI264" s="82"/>
      <c r="AJ264" s="82"/>
      <c r="AK264" s="82"/>
      <c r="AL264" s="82"/>
      <c r="AM264" s="82"/>
      <c r="AN264" s="82"/>
    </row>
    <row r="265" spans="1:40" ht="20.25" hidden="1" customHeight="1" x14ac:dyDescent="0.25">
      <c r="A265" s="227"/>
      <c r="B265" s="230" t="str">
        <f>IF(D265="-","#N/A","A")</f>
        <v>A</v>
      </c>
      <c r="C265" s="227"/>
      <c r="D265" s="540" t="str">
        <f>IF('ادخال  التوقعات المالية'!B69=0,"",'ادخال  التوقعات المالية'!B69)</f>
        <v/>
      </c>
      <c r="E265" s="540"/>
      <c r="F265" s="540"/>
      <c r="G265" s="303">
        <f>'ادخال  التوقعات المالية'!C69</f>
        <v>0</v>
      </c>
      <c r="H265" s="304">
        <f>+'ادخال  التوقعات المالية'!E69</f>
        <v>0</v>
      </c>
      <c r="I265" s="304">
        <f>+'ادخال  التوقعات المالية'!F69</f>
        <v>0</v>
      </c>
      <c r="J265" s="304">
        <f>+'ادخال  التوقعات المالية'!G69</f>
        <v>0</v>
      </c>
      <c r="K265" s="304">
        <f>+'ادخال  التوقعات المالية'!H69</f>
        <v>0</v>
      </c>
      <c r="L265" s="304">
        <f>+'ادخال  التوقعات المالية'!I69</f>
        <v>0</v>
      </c>
      <c r="M265" s="227"/>
      <c r="N265" s="227"/>
      <c r="O265" s="227"/>
      <c r="P265" s="232"/>
      <c r="Q265" s="94" t="str">
        <f t="shared" si="29"/>
        <v>-</v>
      </c>
      <c r="R265" s="81"/>
      <c r="S265" s="81"/>
      <c r="T265" s="81"/>
      <c r="U265" s="81" t="str">
        <f>IF('ادخال  التوقعات المالية'!C69=0,"",'ادخال  التوقعات المالية'!C69)</f>
        <v/>
      </c>
      <c r="V265" s="81"/>
      <c r="W265" s="81"/>
      <c r="X265" s="81"/>
      <c r="Y265" s="82"/>
      <c r="Z265" s="82"/>
      <c r="AA265" s="82"/>
      <c r="AB265" s="82"/>
      <c r="AC265" s="82"/>
      <c r="AD265" s="82"/>
      <c r="AE265" s="82"/>
      <c r="AF265" s="82"/>
      <c r="AG265" s="82"/>
      <c r="AH265" s="82"/>
      <c r="AI265" s="82"/>
      <c r="AJ265" s="82"/>
      <c r="AK265" s="82"/>
      <c r="AL265" s="82"/>
      <c r="AM265" s="82"/>
      <c r="AN265" s="82"/>
    </row>
    <row r="266" spans="1:40" ht="15" x14ac:dyDescent="0.25">
      <c r="A266" s="227"/>
      <c r="B266" s="230" t="s">
        <v>32</v>
      </c>
      <c r="C266" s="227"/>
      <c r="D266" s="227"/>
      <c r="E266" s="227"/>
      <c r="F266" s="227"/>
      <c r="G266" s="227"/>
      <c r="H266" s="227"/>
      <c r="I266" s="231"/>
      <c r="J266" s="305"/>
      <c r="K266" s="227"/>
      <c r="L266" s="227"/>
      <c r="M266" s="227"/>
      <c r="N266" s="227"/>
      <c r="O266" s="227"/>
      <c r="P266" s="232"/>
      <c r="Q266" s="94" t="s">
        <v>130</v>
      </c>
      <c r="R266" s="81"/>
      <c r="S266" s="81"/>
      <c r="T266" s="81"/>
      <c r="U266" s="81"/>
      <c r="V266" s="81"/>
      <c r="W266" s="81"/>
      <c r="X266" s="81"/>
      <c r="Y266" s="82"/>
      <c r="Z266" s="82"/>
      <c r="AA266" s="82"/>
      <c r="AB266" s="82"/>
      <c r="AC266" s="82"/>
      <c r="AD266" s="82"/>
      <c r="AE266" s="82"/>
      <c r="AF266" s="82"/>
      <c r="AG266" s="82"/>
      <c r="AH266" s="82"/>
      <c r="AI266" s="82"/>
      <c r="AJ266" s="82"/>
      <c r="AK266" s="82"/>
      <c r="AL266" s="82"/>
      <c r="AM266" s="82"/>
      <c r="AN266" s="82"/>
    </row>
    <row r="267" spans="1:40" ht="15" x14ac:dyDescent="0.25">
      <c r="A267" s="227"/>
      <c r="B267" s="230" t="s">
        <v>32</v>
      </c>
      <c r="C267" s="227"/>
      <c r="D267" s="227"/>
      <c r="E267" s="227"/>
      <c r="F267" s="227"/>
      <c r="G267" s="227"/>
      <c r="H267" s="227"/>
      <c r="I267" s="306"/>
      <c r="J267" s="271"/>
      <c r="K267" s="271"/>
      <c r="L267" s="271"/>
      <c r="M267" s="271"/>
      <c r="N267" s="271"/>
      <c r="O267" s="227"/>
      <c r="P267" s="232"/>
      <c r="Q267" s="94" t="s">
        <v>130</v>
      </c>
      <c r="R267" s="81"/>
      <c r="S267" s="81"/>
      <c r="T267" s="81"/>
      <c r="U267" s="81"/>
      <c r="V267" s="81"/>
      <c r="W267" s="81"/>
      <c r="X267" s="81"/>
      <c r="Y267" s="82"/>
      <c r="Z267" s="82"/>
      <c r="AA267" s="82"/>
      <c r="AB267" s="82"/>
      <c r="AC267" s="82"/>
      <c r="AD267" s="82"/>
      <c r="AE267" s="82"/>
      <c r="AF267" s="82"/>
      <c r="AG267" s="82"/>
      <c r="AH267" s="82"/>
      <c r="AI267" s="82"/>
      <c r="AJ267" s="82"/>
      <c r="AK267" s="82"/>
      <c r="AL267" s="82"/>
      <c r="AM267" s="82"/>
      <c r="AN267" s="82"/>
    </row>
    <row r="268" spans="1:40" ht="15.6" x14ac:dyDescent="0.25">
      <c r="A268" s="227"/>
      <c r="B268" s="230" t="s">
        <v>32</v>
      </c>
      <c r="C268" s="227"/>
      <c r="D268" s="227"/>
      <c r="E268" s="77" t="s">
        <v>125</v>
      </c>
      <c r="F268" s="77"/>
      <c r="G268" s="77"/>
      <c r="H268" s="227"/>
      <c r="I268" s="231"/>
      <c r="J268" s="227"/>
      <c r="K268" s="227"/>
      <c r="L268" s="227"/>
      <c r="M268" s="227"/>
      <c r="N268" s="227"/>
      <c r="O268" s="227"/>
      <c r="P268" s="232"/>
      <c r="Q268" s="94" t="s">
        <v>130</v>
      </c>
      <c r="R268" s="81"/>
      <c r="S268" s="81"/>
      <c r="T268" s="81"/>
      <c r="U268" s="81"/>
      <c r="V268" s="81"/>
      <c r="W268" s="81"/>
      <c r="X268" s="81"/>
      <c r="Y268" s="82"/>
      <c r="Z268" s="82"/>
      <c r="AA268" s="82"/>
      <c r="AB268" s="82"/>
      <c r="AC268" s="82"/>
      <c r="AD268" s="82"/>
      <c r="AE268" s="82"/>
      <c r="AF268" s="82"/>
      <c r="AG268" s="82"/>
      <c r="AH268" s="82"/>
      <c r="AI268" s="82"/>
      <c r="AJ268" s="82"/>
      <c r="AK268" s="82"/>
      <c r="AL268" s="82"/>
      <c r="AM268" s="82"/>
      <c r="AN268" s="82"/>
    </row>
    <row r="269" spans="1:40" ht="27.75" customHeight="1" x14ac:dyDescent="0.25">
      <c r="A269" s="227"/>
      <c r="B269" s="230" t="s">
        <v>32</v>
      </c>
      <c r="C269" s="227"/>
      <c r="D269" s="569" t="str">
        <f>D254</f>
        <v>اسم الصنف \ الخدمة</v>
      </c>
      <c r="E269" s="570"/>
      <c r="F269" s="570"/>
      <c r="G269" s="571"/>
      <c r="H269" s="223">
        <f>H255</f>
        <v>2024</v>
      </c>
      <c r="I269" s="223">
        <f>I255</f>
        <v>2025</v>
      </c>
      <c r="J269" s="223">
        <f>J255</f>
        <v>2026</v>
      </c>
      <c r="K269" s="223">
        <f>K255</f>
        <v>2027</v>
      </c>
      <c r="L269" s="223">
        <f>L255</f>
        <v>2028</v>
      </c>
      <c r="M269" s="227"/>
      <c r="N269" s="227"/>
      <c r="O269" s="227"/>
      <c r="P269" s="232"/>
      <c r="Q269" s="94" t="s">
        <v>130</v>
      </c>
      <c r="R269" s="81"/>
      <c r="S269" s="81"/>
      <c r="T269" s="81"/>
      <c r="U269" s="81"/>
      <c r="V269" s="81"/>
      <c r="W269" s="81"/>
      <c r="X269" s="81"/>
      <c r="Y269" s="82"/>
      <c r="Z269" s="82"/>
      <c r="AA269" s="82"/>
      <c r="AB269" s="82"/>
      <c r="AC269" s="82"/>
      <c r="AD269" s="82"/>
      <c r="AE269" s="82"/>
      <c r="AF269" s="82"/>
      <c r="AG269" s="82"/>
      <c r="AH269" s="82"/>
      <c r="AI269" s="82"/>
      <c r="AJ269" s="82"/>
      <c r="AK269" s="82"/>
      <c r="AL269" s="82"/>
      <c r="AM269" s="82"/>
      <c r="AN269" s="82"/>
    </row>
    <row r="270" spans="1:40" ht="20.7" customHeight="1" x14ac:dyDescent="0.25">
      <c r="A270" s="227"/>
      <c r="B270" s="230" t="s">
        <v>32</v>
      </c>
      <c r="C270" s="227"/>
      <c r="D270" s="556" t="str">
        <f>'ادخال  التوقعات المالية'!B60</f>
        <v>صنف 1</v>
      </c>
      <c r="E270" s="557"/>
      <c r="F270" s="557"/>
      <c r="G270" s="558"/>
      <c r="H270" s="307">
        <f>$G256*H256</f>
        <v>380000</v>
      </c>
      <c r="I270" s="307">
        <f>$G256*I256</f>
        <v>638495</v>
      </c>
      <c r="J270" s="307">
        <f>$G256*J256</f>
        <v>785840</v>
      </c>
      <c r="K270" s="307">
        <f>$G256*K256</f>
        <v>884070</v>
      </c>
      <c r="L270" s="307">
        <f>$G256*L256</f>
        <v>982300</v>
      </c>
      <c r="M270" s="227"/>
      <c r="N270" s="227"/>
      <c r="O270" s="227"/>
      <c r="P270" s="232"/>
      <c r="Q270" s="94" t="str">
        <f t="shared" ref="Q270:Q279" si="30">Q256</f>
        <v>Yes</v>
      </c>
      <c r="R270" s="81"/>
      <c r="S270" s="81"/>
      <c r="T270" s="81"/>
      <c r="U270" s="81"/>
      <c r="V270" s="81"/>
      <c r="W270" s="81"/>
      <c r="X270" s="81"/>
      <c r="Y270" s="82"/>
      <c r="Z270" s="82"/>
      <c r="AA270" s="82"/>
      <c r="AB270" s="82"/>
      <c r="AC270" s="82"/>
      <c r="AD270" s="82"/>
      <c r="AE270" s="82"/>
      <c r="AF270" s="82"/>
      <c r="AG270" s="82"/>
      <c r="AH270" s="82"/>
      <c r="AI270" s="82"/>
      <c r="AJ270" s="82"/>
      <c r="AK270" s="82"/>
      <c r="AL270" s="82"/>
      <c r="AM270" s="82"/>
      <c r="AN270" s="82"/>
    </row>
    <row r="271" spans="1:40" ht="20.7" customHeight="1" x14ac:dyDescent="0.25">
      <c r="A271" s="227"/>
      <c r="B271" s="230" t="s">
        <v>32</v>
      </c>
      <c r="C271" s="227"/>
      <c r="D271" s="556" t="str">
        <f>'ادخال  التوقعات المالية'!B61</f>
        <v>صنف 2</v>
      </c>
      <c r="E271" s="557"/>
      <c r="F271" s="557"/>
      <c r="G271" s="558"/>
      <c r="H271" s="307">
        <f t="shared" ref="H271:L279" si="31">$G257*H257</f>
        <v>360000</v>
      </c>
      <c r="I271" s="307">
        <f t="shared" si="31"/>
        <v>955500</v>
      </c>
      <c r="J271" s="307">
        <f t="shared" si="31"/>
        <v>1176000</v>
      </c>
      <c r="K271" s="307">
        <f t="shared" si="31"/>
        <v>1323000</v>
      </c>
      <c r="L271" s="307">
        <f t="shared" si="31"/>
        <v>1470000</v>
      </c>
      <c r="M271" s="227"/>
      <c r="N271" s="227"/>
      <c r="O271" s="227"/>
      <c r="P271" s="232"/>
      <c r="Q271" s="94" t="str">
        <f t="shared" si="30"/>
        <v>Yes</v>
      </c>
      <c r="R271" s="81"/>
      <c r="S271" s="81"/>
      <c r="T271" s="81"/>
      <c r="U271" s="81"/>
      <c r="V271" s="81"/>
      <c r="W271" s="81"/>
      <c r="X271" s="81"/>
      <c r="Y271" s="82"/>
      <c r="Z271" s="82"/>
      <c r="AA271" s="82"/>
      <c r="AB271" s="82"/>
      <c r="AC271" s="82"/>
      <c r="AD271" s="82"/>
      <c r="AE271" s="82"/>
      <c r="AF271" s="82"/>
      <c r="AG271" s="82"/>
      <c r="AH271" s="82"/>
      <c r="AI271" s="82"/>
      <c r="AJ271" s="82"/>
      <c r="AK271" s="82"/>
      <c r="AL271" s="82"/>
      <c r="AM271" s="82"/>
      <c r="AN271" s="82"/>
    </row>
    <row r="272" spans="1:40" ht="20.7" customHeight="1" x14ac:dyDescent="0.25">
      <c r="A272" s="227"/>
      <c r="B272" s="230" t="s">
        <v>32</v>
      </c>
      <c r="C272" s="227"/>
      <c r="D272" s="556" t="str">
        <f>'ادخال  التوقعات المالية'!B62</f>
        <v>صنف 3</v>
      </c>
      <c r="E272" s="557"/>
      <c r="F272" s="557"/>
      <c r="G272" s="558"/>
      <c r="H272" s="307">
        <f t="shared" si="31"/>
        <v>450000</v>
      </c>
      <c r="I272" s="307">
        <f t="shared" si="31"/>
        <v>796575.00000000012</v>
      </c>
      <c r="J272" s="307">
        <f t="shared" si="31"/>
        <v>980400</v>
      </c>
      <c r="K272" s="307">
        <f t="shared" si="31"/>
        <v>1102950</v>
      </c>
      <c r="L272" s="307">
        <f t="shared" si="31"/>
        <v>1225500</v>
      </c>
      <c r="M272" s="227"/>
      <c r="N272" s="227"/>
      <c r="O272" s="227"/>
      <c r="P272" s="232"/>
      <c r="Q272" s="94" t="str">
        <f t="shared" si="30"/>
        <v>Yes</v>
      </c>
      <c r="R272" s="81"/>
      <c r="S272" s="81"/>
      <c r="T272" s="81"/>
      <c r="U272" s="81"/>
      <c r="V272" s="81"/>
      <c r="W272" s="81"/>
      <c r="X272" s="81"/>
      <c r="Y272" s="82"/>
      <c r="Z272" s="82"/>
      <c r="AA272" s="82"/>
      <c r="AB272" s="82"/>
      <c r="AC272" s="82"/>
      <c r="AD272" s="82"/>
      <c r="AE272" s="82"/>
      <c r="AF272" s="82"/>
      <c r="AG272" s="82"/>
      <c r="AH272" s="82"/>
      <c r="AI272" s="82"/>
      <c r="AJ272" s="82"/>
      <c r="AK272" s="82"/>
      <c r="AL272" s="82"/>
      <c r="AM272" s="82"/>
      <c r="AN272" s="82"/>
    </row>
    <row r="273" spans="1:40" ht="20.7" customHeight="1" x14ac:dyDescent="0.25">
      <c r="A273" s="227"/>
      <c r="B273" s="230" t="s">
        <v>32</v>
      </c>
      <c r="C273" s="227"/>
      <c r="D273" s="556" t="str">
        <f>'ادخال  التوقعات المالية'!B63</f>
        <v>صنف 4</v>
      </c>
      <c r="E273" s="557"/>
      <c r="F273" s="557"/>
      <c r="G273" s="558"/>
      <c r="H273" s="307">
        <f t="shared" si="31"/>
        <v>540000</v>
      </c>
      <c r="I273" s="307">
        <f t="shared" si="31"/>
        <v>1051245</v>
      </c>
      <c r="J273" s="307">
        <f t="shared" si="31"/>
        <v>1293840</v>
      </c>
      <c r="K273" s="307">
        <f t="shared" si="31"/>
        <v>1455570</v>
      </c>
      <c r="L273" s="307">
        <f t="shared" si="31"/>
        <v>1617300</v>
      </c>
      <c r="M273" s="227"/>
      <c r="N273" s="227"/>
      <c r="O273" s="227"/>
      <c r="P273" s="232"/>
      <c r="Q273" s="94" t="str">
        <f t="shared" si="30"/>
        <v>Yes</v>
      </c>
      <c r="R273" s="81"/>
      <c r="S273" s="81"/>
      <c r="T273" s="81"/>
      <c r="U273" s="81"/>
      <c r="V273" s="81"/>
      <c r="W273" s="81"/>
      <c r="X273" s="81"/>
      <c r="Y273" s="82"/>
      <c r="Z273" s="82"/>
      <c r="AA273" s="82"/>
      <c r="AB273" s="82"/>
      <c r="AC273" s="82"/>
      <c r="AD273" s="82"/>
      <c r="AE273" s="82"/>
      <c r="AF273" s="82"/>
      <c r="AG273" s="82"/>
      <c r="AH273" s="82"/>
      <c r="AI273" s="82"/>
      <c r="AJ273" s="82"/>
      <c r="AK273" s="82"/>
      <c r="AL273" s="82"/>
      <c r="AM273" s="82"/>
      <c r="AN273" s="82"/>
    </row>
    <row r="274" spans="1:40" ht="20.7" customHeight="1" x14ac:dyDescent="0.25">
      <c r="A274" s="227"/>
      <c r="B274" s="230" t="s">
        <v>32</v>
      </c>
      <c r="C274" s="227"/>
      <c r="D274" s="556" t="str">
        <f>'ادخال  التوقعات المالية'!B64</f>
        <v>صنف 5</v>
      </c>
      <c r="E274" s="557"/>
      <c r="F274" s="557"/>
      <c r="G274" s="558"/>
      <c r="H274" s="307">
        <f t="shared" si="31"/>
        <v>1212948.0000000002</v>
      </c>
      <c r="I274" s="307">
        <f t="shared" si="31"/>
        <v>1433484</v>
      </c>
      <c r="J274" s="307">
        <f t="shared" si="31"/>
        <v>1764288.0000000002</v>
      </c>
      <c r="K274" s="307">
        <f t="shared" si="31"/>
        <v>1984824</v>
      </c>
      <c r="L274" s="307">
        <f t="shared" si="31"/>
        <v>2205360</v>
      </c>
      <c r="M274" s="227"/>
      <c r="N274" s="227"/>
      <c r="O274" s="227"/>
      <c r="P274" s="232"/>
      <c r="Q274" s="94" t="str">
        <f t="shared" si="30"/>
        <v>Yes</v>
      </c>
      <c r="R274" s="81"/>
      <c r="S274" s="81"/>
      <c r="T274" s="81"/>
      <c r="U274" s="81"/>
      <c r="V274" s="81"/>
      <c r="W274" s="81"/>
      <c r="X274" s="81"/>
      <c r="Y274" s="82"/>
      <c r="Z274" s="82"/>
      <c r="AA274" s="82"/>
      <c r="AB274" s="82"/>
      <c r="AC274" s="82"/>
      <c r="AD274" s="82"/>
      <c r="AE274" s="82"/>
      <c r="AF274" s="82"/>
      <c r="AG274" s="82"/>
      <c r="AH274" s="82"/>
      <c r="AI274" s="82"/>
      <c r="AJ274" s="82"/>
      <c r="AK274" s="82"/>
      <c r="AL274" s="82"/>
      <c r="AM274" s="82"/>
      <c r="AN274" s="82"/>
    </row>
    <row r="275" spans="1:40" ht="20.7" customHeight="1" x14ac:dyDescent="0.25">
      <c r="A275" s="227"/>
      <c r="B275" s="230" t="s">
        <v>32</v>
      </c>
      <c r="C275" s="227"/>
      <c r="D275" s="556" t="str">
        <f>'ادخال  التوقعات المالية'!B65</f>
        <v>صنف 6</v>
      </c>
      <c r="E275" s="557"/>
      <c r="F275" s="557"/>
      <c r="G275" s="558"/>
      <c r="H275" s="307">
        <f t="shared" si="31"/>
        <v>1212948</v>
      </c>
      <c r="I275" s="307">
        <f t="shared" si="31"/>
        <v>1433484</v>
      </c>
      <c r="J275" s="307">
        <f t="shared" si="31"/>
        <v>1764288</v>
      </c>
      <c r="K275" s="307">
        <f t="shared" si="31"/>
        <v>1984824.0000000002</v>
      </c>
      <c r="L275" s="307">
        <f t="shared" si="31"/>
        <v>2205360</v>
      </c>
      <c r="M275" s="227"/>
      <c r="N275" s="227"/>
      <c r="O275" s="227"/>
      <c r="P275" s="232"/>
      <c r="Q275" s="94" t="str">
        <f t="shared" si="30"/>
        <v>Yes</v>
      </c>
      <c r="R275" s="81"/>
      <c r="S275" s="81"/>
      <c r="T275" s="81"/>
      <c r="U275" s="81"/>
      <c r="V275" s="81"/>
      <c r="W275" s="81"/>
      <c r="X275" s="81"/>
      <c r="Y275" s="82"/>
      <c r="Z275" s="82"/>
      <c r="AA275" s="82"/>
      <c r="AB275" s="82"/>
      <c r="AC275" s="82"/>
      <c r="AD275" s="82"/>
      <c r="AE275" s="82"/>
      <c r="AF275" s="82"/>
      <c r="AG275" s="82"/>
      <c r="AH275" s="82"/>
      <c r="AI275" s="82"/>
      <c r="AJ275" s="82"/>
      <c r="AK275" s="82"/>
      <c r="AL275" s="82"/>
      <c r="AM275" s="82"/>
      <c r="AN275" s="82"/>
    </row>
    <row r="276" spans="1:40" ht="20.7" customHeight="1" x14ac:dyDescent="0.25">
      <c r="A276" s="227"/>
      <c r="B276" s="230"/>
      <c r="C276" s="227"/>
      <c r="D276" s="556" t="str">
        <f>'ادخال  التوقعات المالية'!B66</f>
        <v>صنف 7</v>
      </c>
      <c r="E276" s="557"/>
      <c r="F276" s="557"/>
      <c r="G276" s="558"/>
      <c r="H276" s="307">
        <f t="shared" si="31"/>
        <v>161766</v>
      </c>
      <c r="I276" s="307">
        <f t="shared" si="31"/>
        <v>191178.00000000003</v>
      </c>
      <c r="J276" s="307">
        <f t="shared" si="31"/>
        <v>235296</v>
      </c>
      <c r="K276" s="307">
        <f t="shared" si="31"/>
        <v>264708</v>
      </c>
      <c r="L276" s="307">
        <f t="shared" si="31"/>
        <v>294120</v>
      </c>
      <c r="M276" s="227"/>
      <c r="N276" s="227"/>
      <c r="O276" s="227"/>
      <c r="P276" s="232"/>
      <c r="Q276" s="94" t="str">
        <f t="shared" si="30"/>
        <v>Yes</v>
      </c>
      <c r="R276" s="81"/>
      <c r="S276" s="81"/>
      <c r="T276" s="81"/>
      <c r="U276" s="81"/>
      <c r="V276" s="81"/>
      <c r="W276" s="81"/>
      <c r="X276" s="81"/>
      <c r="Y276" s="82"/>
      <c r="Z276" s="82"/>
      <c r="AA276" s="82"/>
      <c r="AB276" s="82"/>
      <c r="AC276" s="82"/>
      <c r="AD276" s="82"/>
      <c r="AE276" s="82"/>
      <c r="AF276" s="82"/>
      <c r="AG276" s="82"/>
      <c r="AH276" s="82"/>
      <c r="AI276" s="82"/>
      <c r="AJ276" s="82"/>
      <c r="AK276" s="82"/>
      <c r="AL276" s="82"/>
      <c r="AM276" s="82"/>
      <c r="AN276" s="82"/>
    </row>
    <row r="277" spans="1:40" ht="16.5" hidden="1" customHeight="1" x14ac:dyDescent="0.25">
      <c r="A277" s="227"/>
      <c r="B277" s="230"/>
      <c r="C277" s="227"/>
      <c r="D277" s="556">
        <f>'ادخال  التوقعات المالية'!B67</f>
        <v>0</v>
      </c>
      <c r="E277" s="557"/>
      <c r="F277" s="557"/>
      <c r="G277" s="558"/>
      <c r="H277" s="307">
        <f t="shared" si="31"/>
        <v>0</v>
      </c>
      <c r="I277" s="307">
        <f t="shared" si="31"/>
        <v>0</v>
      </c>
      <c r="J277" s="307">
        <f t="shared" si="31"/>
        <v>0</v>
      </c>
      <c r="K277" s="307">
        <f t="shared" si="31"/>
        <v>0</v>
      </c>
      <c r="L277" s="307">
        <f t="shared" si="31"/>
        <v>0</v>
      </c>
      <c r="M277" s="227"/>
      <c r="N277" s="227"/>
      <c r="O277" s="227"/>
      <c r="P277" s="232"/>
      <c r="Q277" s="94" t="str">
        <f t="shared" si="30"/>
        <v>-</v>
      </c>
      <c r="R277" s="81"/>
      <c r="S277" s="81"/>
      <c r="T277" s="81"/>
      <c r="U277" s="81"/>
      <c r="V277" s="81"/>
      <c r="W277" s="81"/>
      <c r="X277" s="81"/>
      <c r="Y277" s="82"/>
      <c r="Z277" s="82"/>
      <c r="AA277" s="82"/>
      <c r="AB277" s="82"/>
      <c r="AC277" s="82"/>
      <c r="AD277" s="82"/>
      <c r="AE277" s="82"/>
      <c r="AF277" s="82"/>
      <c r="AG277" s="82"/>
      <c r="AH277" s="82"/>
      <c r="AI277" s="82"/>
      <c r="AJ277" s="82"/>
      <c r="AK277" s="82"/>
      <c r="AL277" s="82"/>
      <c r="AM277" s="82"/>
      <c r="AN277" s="82"/>
    </row>
    <row r="278" spans="1:40" ht="16.5" hidden="1" customHeight="1" x14ac:dyDescent="0.25">
      <c r="A278" s="227"/>
      <c r="B278" s="230"/>
      <c r="C278" s="227"/>
      <c r="D278" s="556">
        <f>'ادخال  التوقعات المالية'!B68</f>
        <v>0</v>
      </c>
      <c r="E278" s="557"/>
      <c r="F278" s="557"/>
      <c r="G278" s="558"/>
      <c r="H278" s="307">
        <f t="shared" si="31"/>
        <v>0</v>
      </c>
      <c r="I278" s="307">
        <f t="shared" si="31"/>
        <v>0</v>
      </c>
      <c r="J278" s="307">
        <f t="shared" si="31"/>
        <v>0</v>
      </c>
      <c r="K278" s="307">
        <f t="shared" si="31"/>
        <v>0</v>
      </c>
      <c r="L278" s="307">
        <f t="shared" si="31"/>
        <v>0</v>
      </c>
      <c r="M278" s="227"/>
      <c r="N278" s="227"/>
      <c r="O278" s="227"/>
      <c r="P278" s="232"/>
      <c r="Q278" s="94" t="str">
        <f t="shared" si="30"/>
        <v>-</v>
      </c>
      <c r="R278" s="81"/>
      <c r="S278" s="81"/>
      <c r="T278" s="81"/>
      <c r="U278" s="81"/>
      <c r="V278" s="81"/>
      <c r="W278" s="81"/>
      <c r="X278" s="81"/>
      <c r="Y278" s="82"/>
      <c r="Z278" s="82"/>
      <c r="AA278" s="82"/>
      <c r="AB278" s="82"/>
      <c r="AC278" s="82"/>
      <c r="AD278" s="82"/>
      <c r="AE278" s="82"/>
      <c r="AF278" s="82"/>
      <c r="AG278" s="82"/>
      <c r="AH278" s="82"/>
      <c r="AI278" s="82"/>
      <c r="AJ278" s="82"/>
      <c r="AK278" s="82"/>
      <c r="AL278" s="82"/>
      <c r="AM278" s="82"/>
      <c r="AN278" s="82"/>
    </row>
    <row r="279" spans="1:40" ht="16.5" hidden="1" customHeight="1" x14ac:dyDescent="0.25">
      <c r="A279" s="227"/>
      <c r="B279" s="230"/>
      <c r="C279" s="227"/>
      <c r="D279" s="556">
        <f>'ادخال  التوقعات المالية'!B69</f>
        <v>0</v>
      </c>
      <c r="E279" s="557"/>
      <c r="F279" s="557"/>
      <c r="G279" s="558"/>
      <c r="H279" s="307">
        <f t="shared" si="31"/>
        <v>0</v>
      </c>
      <c r="I279" s="307">
        <f t="shared" si="31"/>
        <v>0</v>
      </c>
      <c r="J279" s="307">
        <f t="shared" si="31"/>
        <v>0</v>
      </c>
      <c r="K279" s="307">
        <f t="shared" si="31"/>
        <v>0</v>
      </c>
      <c r="L279" s="307">
        <f t="shared" si="31"/>
        <v>0</v>
      </c>
      <c r="M279" s="227"/>
      <c r="N279" s="227"/>
      <c r="O279" s="227"/>
      <c r="P279" s="232"/>
      <c r="Q279" s="94" t="str">
        <f t="shared" si="30"/>
        <v>-</v>
      </c>
      <c r="R279" s="81"/>
      <c r="S279" s="81"/>
      <c r="T279" s="81"/>
      <c r="U279" s="81"/>
      <c r="V279" s="81"/>
      <c r="W279" s="81"/>
      <c r="X279" s="81"/>
      <c r="Y279" s="82"/>
      <c r="Z279" s="82"/>
      <c r="AA279" s="82"/>
      <c r="AB279" s="82"/>
      <c r="AC279" s="82"/>
      <c r="AD279" s="82"/>
      <c r="AE279" s="82"/>
      <c r="AF279" s="82"/>
      <c r="AG279" s="82"/>
      <c r="AH279" s="82"/>
      <c r="AI279" s="82"/>
      <c r="AJ279" s="82"/>
      <c r="AK279" s="82"/>
      <c r="AL279" s="82"/>
      <c r="AM279" s="82"/>
      <c r="AN279" s="82"/>
    </row>
    <row r="280" spans="1:40" ht="20.7" customHeight="1" x14ac:dyDescent="0.25">
      <c r="A280" s="227"/>
      <c r="B280" s="230" t="s">
        <v>32</v>
      </c>
      <c r="C280" s="227"/>
      <c r="D280" s="563" t="s">
        <v>9</v>
      </c>
      <c r="E280" s="564"/>
      <c r="F280" s="564"/>
      <c r="G280" s="565"/>
      <c r="H280" s="225">
        <f>SUM(H270:H279)</f>
        <v>4317662</v>
      </c>
      <c r="I280" s="308">
        <f>SUM(I270:I279)</f>
        <v>6499961</v>
      </c>
      <c r="J280" s="308">
        <f>SUM(J270:J279)</f>
        <v>7999952</v>
      </c>
      <c r="K280" s="308">
        <f>SUM(K270:K279)</f>
        <v>8999946</v>
      </c>
      <c r="L280" s="225">
        <f>SUM(L270:L279)</f>
        <v>9999940</v>
      </c>
      <c r="M280" s="227"/>
      <c r="N280" s="227"/>
      <c r="O280" s="227"/>
      <c r="P280" s="232"/>
      <c r="Q280" s="94" t="s">
        <v>130</v>
      </c>
      <c r="R280" s="81"/>
      <c r="S280" s="81"/>
      <c r="T280" s="81"/>
      <c r="U280" s="81"/>
      <c r="V280" s="81"/>
      <c r="W280" s="81"/>
      <c r="X280" s="81"/>
      <c r="Y280" s="82"/>
      <c r="Z280" s="82"/>
      <c r="AA280" s="82"/>
      <c r="AB280" s="82"/>
      <c r="AC280" s="82"/>
      <c r="AD280" s="82"/>
      <c r="AE280" s="82"/>
      <c r="AF280" s="82"/>
      <c r="AG280" s="82"/>
      <c r="AH280" s="82"/>
      <c r="AI280" s="82"/>
      <c r="AJ280" s="82"/>
      <c r="AK280" s="82"/>
      <c r="AL280" s="82"/>
      <c r="AM280" s="82"/>
      <c r="AN280" s="82"/>
    </row>
    <row r="281" spans="1:40" ht="24.75" customHeight="1" x14ac:dyDescent="0.25">
      <c r="A281" s="227"/>
      <c r="B281" s="230"/>
      <c r="C281" s="230"/>
      <c r="D281" s="227"/>
      <c r="E281" s="227"/>
      <c r="F281" s="227"/>
      <c r="G281" s="227"/>
      <c r="H281" s="227"/>
      <c r="I281" s="231"/>
      <c r="J281" s="227"/>
      <c r="K281" s="227"/>
      <c r="L281" s="227"/>
      <c r="M281" s="227"/>
      <c r="N281" s="227"/>
      <c r="O281" s="227"/>
      <c r="P281" s="230"/>
      <c r="Q281" s="94" t="s">
        <v>130</v>
      </c>
      <c r="R281" s="81"/>
      <c r="S281" s="81"/>
      <c r="T281" s="81"/>
      <c r="U281" s="81"/>
      <c r="V281" s="81"/>
      <c r="W281" s="81"/>
      <c r="X281" s="81"/>
      <c r="Y281" s="82"/>
      <c r="Z281" s="82"/>
      <c r="AA281" s="82"/>
      <c r="AB281" s="82"/>
      <c r="AC281" s="82"/>
      <c r="AD281" s="82"/>
      <c r="AE281" s="82"/>
      <c r="AF281" s="82"/>
      <c r="AG281" s="82"/>
      <c r="AH281" s="82"/>
      <c r="AI281" s="82"/>
      <c r="AJ281" s="82"/>
      <c r="AK281" s="82"/>
      <c r="AL281" s="82"/>
      <c r="AM281" s="82"/>
      <c r="AN281" s="82"/>
    </row>
    <row r="282" spans="1:40" ht="24.75" customHeight="1" x14ac:dyDescent="0.25">
      <c r="A282" s="227"/>
      <c r="B282" s="230"/>
      <c r="C282" s="230"/>
      <c r="D282" s="227"/>
      <c r="E282" s="77" t="s">
        <v>10</v>
      </c>
      <c r="F282" s="77"/>
      <c r="G282" s="77"/>
      <c r="H282" s="227"/>
      <c r="I282" s="231"/>
      <c r="J282" s="227"/>
      <c r="K282" s="227"/>
      <c r="L282" s="227"/>
      <c r="M282" s="227"/>
      <c r="N282" s="227"/>
      <c r="O282" s="227"/>
      <c r="P282" s="230"/>
      <c r="Q282" s="94" t="s">
        <v>130</v>
      </c>
      <c r="R282" s="81"/>
      <c r="S282" s="81"/>
      <c r="T282" s="81"/>
      <c r="U282" s="81"/>
      <c r="V282" s="81"/>
      <c r="W282" s="81"/>
      <c r="X282" s="81"/>
      <c r="Y282" s="82"/>
      <c r="Z282" s="82"/>
      <c r="AA282" s="82"/>
      <c r="AB282" s="82"/>
      <c r="AC282" s="82"/>
      <c r="AD282" s="82"/>
      <c r="AE282" s="82"/>
      <c r="AF282" s="82"/>
      <c r="AG282" s="82"/>
      <c r="AH282" s="82"/>
      <c r="AI282" s="82"/>
      <c r="AJ282" s="82"/>
      <c r="AK282" s="82"/>
      <c r="AL282" s="82"/>
      <c r="AM282" s="82"/>
      <c r="AN282" s="82"/>
    </row>
    <row r="283" spans="1:40" ht="25.5" customHeight="1" x14ac:dyDescent="0.25">
      <c r="A283" s="227"/>
      <c r="B283" s="230" t="s">
        <v>32</v>
      </c>
      <c r="C283" s="227"/>
      <c r="D283" s="550" t="str">
        <f>D269</f>
        <v>اسم الصنف \ الخدمة</v>
      </c>
      <c r="E283" s="550"/>
      <c r="F283" s="550"/>
      <c r="G283" s="550"/>
      <c r="H283" s="223">
        <f>H269</f>
        <v>2024</v>
      </c>
      <c r="I283" s="223">
        <f>I269</f>
        <v>2025</v>
      </c>
      <c r="J283" s="223">
        <f>J269</f>
        <v>2026</v>
      </c>
      <c r="K283" s="223">
        <f>K269</f>
        <v>2027</v>
      </c>
      <c r="L283" s="223">
        <f>L269</f>
        <v>2028</v>
      </c>
      <c r="M283" s="223" t="s">
        <v>143</v>
      </c>
      <c r="N283" s="227"/>
      <c r="O283" s="227"/>
      <c r="P283" s="232"/>
      <c r="Q283" s="94" t="s">
        <v>130</v>
      </c>
      <c r="R283" s="81"/>
      <c r="S283" s="81"/>
      <c r="T283" s="81"/>
      <c r="U283" s="81"/>
      <c r="V283" s="81"/>
      <c r="W283" s="81">
        <f>H269</f>
        <v>2024</v>
      </c>
      <c r="X283" s="81">
        <f>I269</f>
        <v>2025</v>
      </c>
      <c r="Y283" s="82">
        <f>J269</f>
        <v>2026</v>
      </c>
      <c r="Z283" s="82">
        <f>K269</f>
        <v>2027</v>
      </c>
      <c r="AA283" s="82">
        <f>L269</f>
        <v>2028</v>
      </c>
      <c r="AB283" s="82" t="s">
        <v>6</v>
      </c>
      <c r="AC283" s="82"/>
      <c r="AD283" s="82"/>
      <c r="AE283" s="82"/>
      <c r="AF283" s="82"/>
      <c r="AG283" s="82"/>
      <c r="AH283" s="82"/>
      <c r="AI283" s="82"/>
      <c r="AJ283" s="82"/>
      <c r="AK283" s="82"/>
      <c r="AL283" s="82"/>
      <c r="AM283" s="82"/>
      <c r="AN283" s="82"/>
    </row>
    <row r="284" spans="1:40" ht="20.7" customHeight="1" x14ac:dyDescent="0.25">
      <c r="A284" s="227"/>
      <c r="B284" s="230" t="s">
        <v>32</v>
      </c>
      <c r="C284" s="227"/>
      <c r="D284" s="552" t="str">
        <f>'ادخال  التوقعات المالية'!B60</f>
        <v>صنف 1</v>
      </c>
      <c r="E284" s="552"/>
      <c r="F284" s="552"/>
      <c r="G284" s="552"/>
      <c r="H284" s="307">
        <f t="shared" ref="H284:L285" si="32">H270*$M284</f>
        <v>144400</v>
      </c>
      <c r="I284" s="307">
        <f t="shared" si="32"/>
        <v>242628.1</v>
      </c>
      <c r="J284" s="307">
        <f t="shared" si="32"/>
        <v>298619.2</v>
      </c>
      <c r="K284" s="307">
        <f t="shared" si="32"/>
        <v>335946.6</v>
      </c>
      <c r="L284" s="307">
        <f t="shared" si="32"/>
        <v>373274</v>
      </c>
      <c r="M284" s="309">
        <f>IFERROR('ادخال  التوقعات المالية'!D60/'ادخال  التوقعات المالية'!C60,0)</f>
        <v>0.38</v>
      </c>
      <c r="N284" s="227"/>
      <c r="O284" s="227"/>
      <c r="P284" s="232"/>
      <c r="Q284" s="94" t="str">
        <f t="shared" ref="Q284:Q294" si="33">Q256</f>
        <v>Yes</v>
      </c>
      <c r="R284" s="81"/>
      <c r="S284" s="81"/>
      <c r="T284" s="81"/>
      <c r="U284" s="81"/>
      <c r="V284" s="81" t="str">
        <f t="shared" ref="V284:V293" si="34">D270</f>
        <v>صنف 1</v>
      </c>
      <c r="W284" s="83">
        <f t="shared" ref="W284:W293" si="35">H270-H284</f>
        <v>235600</v>
      </c>
      <c r="X284" s="83">
        <f t="shared" ref="X284:X293" si="36">I270-I284</f>
        <v>395866.9</v>
      </c>
      <c r="Y284" s="83">
        <f t="shared" ref="Y284:Y293" si="37">J270-J284</f>
        <v>487220.8</v>
      </c>
      <c r="Z284" s="83">
        <f t="shared" ref="Z284:Z293" si="38">K270-K284</f>
        <v>548123.4</v>
      </c>
      <c r="AA284" s="83">
        <f t="shared" ref="AA284:AA293" si="39">L270-L284</f>
        <v>609026</v>
      </c>
      <c r="AB284" s="84">
        <f>SUM(W284:AA284)</f>
        <v>2275837.1</v>
      </c>
      <c r="AC284" s="82"/>
      <c r="AD284" s="82"/>
      <c r="AE284" s="82"/>
      <c r="AF284" s="82"/>
      <c r="AG284" s="82"/>
      <c r="AH284" s="82"/>
      <c r="AI284" s="82"/>
      <c r="AJ284" s="82"/>
      <c r="AK284" s="82"/>
      <c r="AL284" s="82"/>
      <c r="AM284" s="82"/>
      <c r="AN284" s="82"/>
    </row>
    <row r="285" spans="1:40" ht="20.7" customHeight="1" x14ac:dyDescent="0.25">
      <c r="A285" s="227"/>
      <c r="B285" s="230" t="s">
        <v>32</v>
      </c>
      <c r="C285" s="227"/>
      <c r="D285" s="552" t="str">
        <f>'ادخال  التوقعات المالية'!B61</f>
        <v>صنف 2</v>
      </c>
      <c r="E285" s="552"/>
      <c r="F285" s="552"/>
      <c r="G285" s="552"/>
      <c r="H285" s="307">
        <f t="shared" si="32"/>
        <v>118800</v>
      </c>
      <c r="I285" s="307">
        <f t="shared" si="32"/>
        <v>315315</v>
      </c>
      <c r="J285" s="307">
        <f t="shared" si="32"/>
        <v>388080</v>
      </c>
      <c r="K285" s="307">
        <f t="shared" si="32"/>
        <v>436590</v>
      </c>
      <c r="L285" s="307">
        <f t="shared" si="32"/>
        <v>485100</v>
      </c>
      <c r="M285" s="309">
        <f>IFERROR('ادخال  التوقعات المالية'!D61/'ادخال  التوقعات المالية'!C61,0)</f>
        <v>0.33</v>
      </c>
      <c r="N285" s="227"/>
      <c r="O285" s="227"/>
      <c r="P285" s="232"/>
      <c r="Q285" s="94" t="str">
        <f t="shared" si="33"/>
        <v>Yes</v>
      </c>
      <c r="R285" s="81"/>
      <c r="S285" s="81"/>
      <c r="T285" s="81"/>
      <c r="U285" s="81"/>
      <c r="V285" s="81" t="str">
        <f t="shared" si="34"/>
        <v>صنف 2</v>
      </c>
      <c r="W285" s="83">
        <f t="shared" si="35"/>
        <v>241200</v>
      </c>
      <c r="X285" s="83">
        <f t="shared" si="36"/>
        <v>640185</v>
      </c>
      <c r="Y285" s="83">
        <f t="shared" si="37"/>
        <v>787920</v>
      </c>
      <c r="Z285" s="83">
        <f t="shared" si="38"/>
        <v>886410</v>
      </c>
      <c r="AA285" s="83">
        <f t="shared" si="39"/>
        <v>984900</v>
      </c>
      <c r="AB285" s="84">
        <f t="shared" ref="AB285:AB293" si="40">SUM(W285:AA285)</f>
        <v>3540615</v>
      </c>
      <c r="AC285" s="82"/>
      <c r="AD285" s="82"/>
      <c r="AE285" s="82"/>
      <c r="AF285" s="82"/>
      <c r="AG285" s="82"/>
      <c r="AH285" s="82"/>
      <c r="AI285" s="82"/>
      <c r="AJ285" s="82"/>
      <c r="AK285" s="82"/>
      <c r="AL285" s="82"/>
      <c r="AM285" s="82"/>
      <c r="AN285" s="82"/>
    </row>
    <row r="286" spans="1:40" ht="20.7" customHeight="1" x14ac:dyDescent="0.25">
      <c r="A286" s="227"/>
      <c r="B286" s="230" t="s">
        <v>32</v>
      </c>
      <c r="C286" s="227"/>
      <c r="D286" s="552" t="str">
        <f>'ادخال  التوقعات المالية'!B62</f>
        <v>صنف 3</v>
      </c>
      <c r="E286" s="552"/>
      <c r="F286" s="552"/>
      <c r="G286" s="552"/>
      <c r="H286" s="307">
        <f t="shared" ref="H286:L293" si="41">H272*$M286</f>
        <v>270000</v>
      </c>
      <c r="I286" s="307">
        <f t="shared" si="41"/>
        <v>477945.00000000006</v>
      </c>
      <c r="J286" s="307">
        <f t="shared" si="41"/>
        <v>588240</v>
      </c>
      <c r="K286" s="307">
        <f t="shared" si="41"/>
        <v>661770</v>
      </c>
      <c r="L286" s="307">
        <f t="shared" si="41"/>
        <v>735300</v>
      </c>
      <c r="M286" s="309">
        <f>IFERROR('ادخال  التوقعات المالية'!D62/'ادخال  التوقعات المالية'!C62,0)</f>
        <v>0.6</v>
      </c>
      <c r="N286" s="227"/>
      <c r="O286" s="227"/>
      <c r="P286" s="232"/>
      <c r="Q286" s="94" t="str">
        <f t="shared" si="33"/>
        <v>Yes</v>
      </c>
      <c r="R286" s="81"/>
      <c r="S286" s="81"/>
      <c r="T286" s="81"/>
      <c r="U286" s="81"/>
      <c r="V286" s="81" t="str">
        <f t="shared" si="34"/>
        <v>صنف 3</v>
      </c>
      <c r="W286" s="83">
        <f t="shared" si="35"/>
        <v>180000</v>
      </c>
      <c r="X286" s="83">
        <f t="shared" si="36"/>
        <v>318630.00000000006</v>
      </c>
      <c r="Y286" s="83">
        <f t="shared" si="37"/>
        <v>392160</v>
      </c>
      <c r="Z286" s="83">
        <f t="shared" si="38"/>
        <v>441180</v>
      </c>
      <c r="AA286" s="83">
        <f t="shared" si="39"/>
        <v>490200</v>
      </c>
      <c r="AB286" s="84">
        <f t="shared" si="40"/>
        <v>1822170</v>
      </c>
      <c r="AC286" s="82"/>
      <c r="AD286" s="82"/>
      <c r="AE286" s="82"/>
      <c r="AF286" s="82"/>
      <c r="AG286" s="82"/>
      <c r="AH286" s="82"/>
      <c r="AI286" s="82"/>
      <c r="AJ286" s="82"/>
      <c r="AK286" s="82"/>
      <c r="AL286" s="82"/>
      <c r="AM286" s="82"/>
      <c r="AN286" s="82"/>
    </row>
    <row r="287" spans="1:40" ht="20.7" customHeight="1" x14ac:dyDescent="0.25">
      <c r="A287" s="227"/>
      <c r="B287" s="230" t="s">
        <v>32</v>
      </c>
      <c r="C287" s="227"/>
      <c r="D287" s="552" t="str">
        <f>'ادخال  التوقعات المالية'!B63</f>
        <v>صنف 4</v>
      </c>
      <c r="E287" s="552"/>
      <c r="F287" s="552"/>
      <c r="G287" s="552"/>
      <c r="H287" s="307">
        <f t="shared" si="41"/>
        <v>243000</v>
      </c>
      <c r="I287" s="307">
        <f t="shared" si="41"/>
        <v>473060.25</v>
      </c>
      <c r="J287" s="307">
        <f t="shared" si="41"/>
        <v>582228</v>
      </c>
      <c r="K287" s="307">
        <f t="shared" si="41"/>
        <v>655006.5</v>
      </c>
      <c r="L287" s="307">
        <f t="shared" si="41"/>
        <v>727785</v>
      </c>
      <c r="M287" s="309">
        <f>IFERROR('ادخال  التوقعات المالية'!D63/'ادخال  التوقعات المالية'!C63,0)</f>
        <v>0.45</v>
      </c>
      <c r="N287" s="227"/>
      <c r="O287" s="227"/>
      <c r="P287" s="232"/>
      <c r="Q287" s="94" t="str">
        <f t="shared" si="33"/>
        <v>Yes</v>
      </c>
      <c r="R287" s="81"/>
      <c r="S287" s="81"/>
      <c r="T287" s="81"/>
      <c r="U287" s="81"/>
      <c r="V287" s="81" t="str">
        <f t="shared" si="34"/>
        <v>صنف 4</v>
      </c>
      <c r="W287" s="83">
        <f t="shared" si="35"/>
        <v>297000</v>
      </c>
      <c r="X287" s="83">
        <f t="shared" si="36"/>
        <v>578184.75</v>
      </c>
      <c r="Y287" s="83">
        <f t="shared" si="37"/>
        <v>711612</v>
      </c>
      <c r="Z287" s="83">
        <f t="shared" si="38"/>
        <v>800563.5</v>
      </c>
      <c r="AA287" s="83">
        <f t="shared" si="39"/>
        <v>889515</v>
      </c>
      <c r="AB287" s="84">
        <f t="shared" si="40"/>
        <v>3276875.25</v>
      </c>
      <c r="AC287" s="82"/>
      <c r="AD287" s="82"/>
      <c r="AE287" s="82"/>
      <c r="AF287" s="82"/>
      <c r="AG287" s="82"/>
      <c r="AH287" s="82"/>
      <c r="AI287" s="82"/>
      <c r="AJ287" s="82"/>
      <c r="AK287" s="82"/>
      <c r="AL287" s="82"/>
      <c r="AM287" s="82"/>
      <c r="AN287" s="82"/>
    </row>
    <row r="288" spans="1:40" ht="20.7" customHeight="1" x14ac:dyDescent="0.25">
      <c r="A288" s="227"/>
      <c r="B288" s="230" t="s">
        <v>32</v>
      </c>
      <c r="C288" s="227"/>
      <c r="D288" s="552" t="str">
        <f>'ادخال  التوقعات المالية'!B64</f>
        <v>صنف 5</v>
      </c>
      <c r="E288" s="552"/>
      <c r="F288" s="552"/>
      <c r="G288" s="552"/>
      <c r="H288" s="307">
        <f t="shared" si="41"/>
        <v>363884.40000000008</v>
      </c>
      <c r="I288" s="307">
        <f t="shared" si="41"/>
        <v>430045.2</v>
      </c>
      <c r="J288" s="307">
        <f t="shared" si="41"/>
        <v>529286.40000000002</v>
      </c>
      <c r="K288" s="307">
        <f t="shared" si="41"/>
        <v>595447.19999999995</v>
      </c>
      <c r="L288" s="307">
        <f t="shared" si="41"/>
        <v>661608</v>
      </c>
      <c r="M288" s="309">
        <f>IFERROR('ادخال  التوقعات المالية'!D64/'ادخال  التوقعات المالية'!C64,0)</f>
        <v>0.3</v>
      </c>
      <c r="N288" s="227"/>
      <c r="O288" s="227"/>
      <c r="P288" s="232"/>
      <c r="Q288" s="94" t="str">
        <f t="shared" si="33"/>
        <v>Yes</v>
      </c>
      <c r="R288" s="81"/>
      <c r="S288" s="81"/>
      <c r="T288" s="81"/>
      <c r="U288" s="81"/>
      <c r="V288" s="81" t="str">
        <f t="shared" si="34"/>
        <v>صنف 5</v>
      </c>
      <c r="W288" s="83">
        <f t="shared" si="35"/>
        <v>849063.60000000009</v>
      </c>
      <c r="X288" s="83">
        <f t="shared" si="36"/>
        <v>1003438.8</v>
      </c>
      <c r="Y288" s="83">
        <f t="shared" si="37"/>
        <v>1235001.6000000001</v>
      </c>
      <c r="Z288" s="83">
        <f t="shared" si="38"/>
        <v>1389376.8</v>
      </c>
      <c r="AA288" s="83">
        <f t="shared" si="39"/>
        <v>1543752</v>
      </c>
      <c r="AB288" s="84">
        <f t="shared" si="40"/>
        <v>6020632.7999999998</v>
      </c>
      <c r="AC288" s="82"/>
      <c r="AD288" s="82"/>
      <c r="AE288" s="82"/>
      <c r="AF288" s="82"/>
      <c r="AG288" s="82"/>
      <c r="AH288" s="82"/>
      <c r="AI288" s="82"/>
      <c r="AJ288" s="82"/>
      <c r="AK288" s="82"/>
      <c r="AL288" s="82"/>
      <c r="AM288" s="82"/>
      <c r="AN288" s="82"/>
    </row>
    <row r="289" spans="1:40" ht="20.7" customHeight="1" x14ac:dyDescent="0.25">
      <c r="A289" s="227"/>
      <c r="B289" s="230" t="s">
        <v>32</v>
      </c>
      <c r="C289" s="227"/>
      <c r="D289" s="552" t="str">
        <f>'ادخال  التوقعات المالية'!B65</f>
        <v>صنف 6</v>
      </c>
      <c r="E289" s="552"/>
      <c r="F289" s="552"/>
      <c r="G289" s="552"/>
      <c r="H289" s="307">
        <f t="shared" si="41"/>
        <v>606474</v>
      </c>
      <c r="I289" s="307">
        <f t="shared" si="41"/>
        <v>716742</v>
      </c>
      <c r="J289" s="307">
        <f t="shared" si="41"/>
        <v>882144</v>
      </c>
      <c r="K289" s="307">
        <f t="shared" si="41"/>
        <v>992412.00000000012</v>
      </c>
      <c r="L289" s="307">
        <f t="shared" si="41"/>
        <v>1102680</v>
      </c>
      <c r="M289" s="309">
        <f>IFERROR('ادخال  التوقعات المالية'!D65/'ادخال  التوقعات المالية'!C65,0)</f>
        <v>0.5</v>
      </c>
      <c r="N289" s="227"/>
      <c r="O289" s="227"/>
      <c r="P289" s="232"/>
      <c r="Q289" s="94" t="str">
        <f t="shared" si="33"/>
        <v>Yes</v>
      </c>
      <c r="R289" s="81"/>
      <c r="S289" s="81"/>
      <c r="T289" s="81"/>
      <c r="U289" s="81"/>
      <c r="V289" s="81" t="str">
        <f t="shared" si="34"/>
        <v>صنف 6</v>
      </c>
      <c r="W289" s="83">
        <f t="shared" si="35"/>
        <v>606474</v>
      </c>
      <c r="X289" s="83">
        <f t="shared" si="36"/>
        <v>716742</v>
      </c>
      <c r="Y289" s="83">
        <f t="shared" si="37"/>
        <v>882144</v>
      </c>
      <c r="Z289" s="83">
        <f t="shared" si="38"/>
        <v>992412.00000000012</v>
      </c>
      <c r="AA289" s="83">
        <f t="shared" si="39"/>
        <v>1102680</v>
      </c>
      <c r="AB289" s="84">
        <f t="shared" si="40"/>
        <v>4300452</v>
      </c>
      <c r="AC289" s="82"/>
      <c r="AD289" s="82"/>
      <c r="AE289" s="82"/>
      <c r="AF289" s="82"/>
      <c r="AG289" s="82"/>
      <c r="AH289" s="82"/>
      <c r="AI289" s="82"/>
      <c r="AJ289" s="82"/>
      <c r="AK289" s="82"/>
      <c r="AL289" s="82"/>
      <c r="AM289" s="82"/>
      <c r="AN289" s="82"/>
    </row>
    <row r="290" spans="1:40" ht="20.7" customHeight="1" x14ac:dyDescent="0.25">
      <c r="A290" s="227"/>
      <c r="B290" s="230"/>
      <c r="C290" s="227"/>
      <c r="D290" s="552" t="str">
        <f>'ادخال  التوقعات المالية'!B66</f>
        <v>صنف 7</v>
      </c>
      <c r="E290" s="552"/>
      <c r="F290" s="552"/>
      <c r="G290" s="552"/>
      <c r="H290" s="307">
        <f t="shared" si="41"/>
        <v>80883</v>
      </c>
      <c r="I290" s="307">
        <f t="shared" si="41"/>
        <v>95589.000000000015</v>
      </c>
      <c r="J290" s="307">
        <f t="shared" si="41"/>
        <v>117648</v>
      </c>
      <c r="K290" s="307">
        <f t="shared" si="41"/>
        <v>132354</v>
      </c>
      <c r="L290" s="307">
        <f t="shared" si="41"/>
        <v>147060</v>
      </c>
      <c r="M290" s="309">
        <f>IFERROR('ادخال  التوقعات المالية'!D66/'ادخال  التوقعات المالية'!C66,0)</f>
        <v>0.5</v>
      </c>
      <c r="N290" s="227"/>
      <c r="O290" s="227"/>
      <c r="P290" s="232"/>
      <c r="Q290" s="94" t="str">
        <f t="shared" si="33"/>
        <v>Yes</v>
      </c>
      <c r="R290" s="81"/>
      <c r="S290" s="81"/>
      <c r="T290" s="81"/>
      <c r="U290" s="81"/>
      <c r="V290" s="81" t="str">
        <f t="shared" si="34"/>
        <v>صنف 7</v>
      </c>
      <c r="W290" s="83">
        <f t="shared" si="35"/>
        <v>80883</v>
      </c>
      <c r="X290" s="83">
        <f t="shared" si="36"/>
        <v>95589.000000000015</v>
      </c>
      <c r="Y290" s="83">
        <f t="shared" si="37"/>
        <v>117648</v>
      </c>
      <c r="Z290" s="83">
        <f t="shared" si="38"/>
        <v>132354</v>
      </c>
      <c r="AA290" s="83">
        <f t="shared" si="39"/>
        <v>147060</v>
      </c>
      <c r="AB290" s="84">
        <f t="shared" si="40"/>
        <v>573534</v>
      </c>
      <c r="AC290" s="82"/>
      <c r="AD290" s="82"/>
      <c r="AE290" s="82"/>
      <c r="AF290" s="82"/>
      <c r="AG290" s="82"/>
      <c r="AH290" s="82"/>
      <c r="AI290" s="82"/>
      <c r="AJ290" s="82"/>
      <c r="AK290" s="82"/>
      <c r="AL290" s="82"/>
      <c r="AM290" s="82"/>
      <c r="AN290" s="82"/>
    </row>
    <row r="291" spans="1:40" ht="15.6" hidden="1" x14ac:dyDescent="0.25">
      <c r="A291" s="227"/>
      <c r="B291" s="230"/>
      <c r="C291" s="227"/>
      <c r="D291" s="552">
        <f>'ادخال  التوقعات المالية'!B67</f>
        <v>0</v>
      </c>
      <c r="E291" s="552"/>
      <c r="F291" s="552"/>
      <c r="G291" s="552"/>
      <c r="H291" s="307">
        <f t="shared" si="41"/>
        <v>0</v>
      </c>
      <c r="I291" s="307">
        <f t="shared" si="41"/>
        <v>0</v>
      </c>
      <c r="J291" s="307">
        <f t="shared" si="41"/>
        <v>0</v>
      </c>
      <c r="K291" s="307">
        <f t="shared" si="41"/>
        <v>0</v>
      </c>
      <c r="L291" s="307">
        <f t="shared" si="41"/>
        <v>0</v>
      </c>
      <c r="M291" s="309">
        <f>IFERROR('ادخال  التوقعات المالية'!D67/'ادخال  التوقعات المالية'!C67,0)</f>
        <v>0</v>
      </c>
      <c r="N291" s="227"/>
      <c r="O291" s="227"/>
      <c r="P291" s="232"/>
      <c r="Q291" s="94" t="str">
        <f t="shared" si="33"/>
        <v>-</v>
      </c>
      <c r="R291" s="81"/>
      <c r="S291" s="81"/>
      <c r="T291" s="81"/>
      <c r="U291" s="81"/>
      <c r="V291" s="81">
        <f t="shared" si="34"/>
        <v>0</v>
      </c>
      <c r="W291" s="83">
        <f t="shared" si="35"/>
        <v>0</v>
      </c>
      <c r="X291" s="83">
        <f t="shared" si="36"/>
        <v>0</v>
      </c>
      <c r="Y291" s="83">
        <f t="shared" si="37"/>
        <v>0</v>
      </c>
      <c r="Z291" s="83">
        <f t="shared" si="38"/>
        <v>0</v>
      </c>
      <c r="AA291" s="83">
        <f t="shared" si="39"/>
        <v>0</v>
      </c>
      <c r="AB291" s="84">
        <f t="shared" si="40"/>
        <v>0</v>
      </c>
      <c r="AC291" s="82"/>
      <c r="AD291" s="82"/>
      <c r="AE291" s="82"/>
      <c r="AF291" s="82"/>
      <c r="AG291" s="82"/>
      <c r="AH291" s="82"/>
      <c r="AI291" s="82"/>
      <c r="AJ291" s="82"/>
      <c r="AK291" s="82"/>
      <c r="AL291" s="82"/>
      <c r="AM291" s="82"/>
      <c r="AN291" s="82"/>
    </row>
    <row r="292" spans="1:40" ht="15.6" hidden="1" x14ac:dyDescent="0.25">
      <c r="A292" s="227"/>
      <c r="B292" s="230"/>
      <c r="C292" s="227"/>
      <c r="D292" s="552">
        <f>'ادخال  التوقعات المالية'!B68</f>
        <v>0</v>
      </c>
      <c r="E292" s="552"/>
      <c r="F292" s="552"/>
      <c r="G292" s="552"/>
      <c r="H292" s="307">
        <f t="shared" si="41"/>
        <v>0</v>
      </c>
      <c r="I292" s="307">
        <f t="shared" si="41"/>
        <v>0</v>
      </c>
      <c r="J292" s="307">
        <f t="shared" si="41"/>
        <v>0</v>
      </c>
      <c r="K292" s="307">
        <f t="shared" si="41"/>
        <v>0</v>
      </c>
      <c r="L292" s="307">
        <f t="shared" si="41"/>
        <v>0</v>
      </c>
      <c r="M292" s="309">
        <f>IFERROR('ادخال  التوقعات المالية'!D68/'ادخال  التوقعات المالية'!C68,0)</f>
        <v>0</v>
      </c>
      <c r="N292" s="227"/>
      <c r="O292" s="227"/>
      <c r="P292" s="232"/>
      <c r="Q292" s="94" t="str">
        <f t="shared" si="33"/>
        <v>-</v>
      </c>
      <c r="R292" s="81"/>
      <c r="S292" s="81"/>
      <c r="T292" s="81"/>
      <c r="U292" s="81"/>
      <c r="V292" s="81">
        <f t="shared" si="34"/>
        <v>0</v>
      </c>
      <c r="W292" s="83">
        <f t="shared" si="35"/>
        <v>0</v>
      </c>
      <c r="X292" s="83">
        <f t="shared" si="36"/>
        <v>0</v>
      </c>
      <c r="Y292" s="83">
        <f t="shared" si="37"/>
        <v>0</v>
      </c>
      <c r="Z292" s="83">
        <f t="shared" si="38"/>
        <v>0</v>
      </c>
      <c r="AA292" s="83">
        <f t="shared" si="39"/>
        <v>0</v>
      </c>
      <c r="AB292" s="84">
        <f t="shared" si="40"/>
        <v>0</v>
      </c>
      <c r="AC292" s="82"/>
      <c r="AD292" s="82"/>
      <c r="AE292" s="82"/>
      <c r="AF292" s="82"/>
      <c r="AG292" s="82"/>
      <c r="AH292" s="82"/>
      <c r="AI292" s="82"/>
      <c r="AJ292" s="82"/>
      <c r="AK292" s="82"/>
      <c r="AL292" s="82"/>
      <c r="AM292" s="82"/>
      <c r="AN292" s="82"/>
    </row>
    <row r="293" spans="1:40" ht="15.6" hidden="1" x14ac:dyDescent="0.25">
      <c r="A293" s="227"/>
      <c r="B293" s="230"/>
      <c r="C293" s="227"/>
      <c r="D293" s="552">
        <f>'ادخال  التوقعات المالية'!B69</f>
        <v>0</v>
      </c>
      <c r="E293" s="552"/>
      <c r="F293" s="552"/>
      <c r="G293" s="552"/>
      <c r="H293" s="307">
        <f t="shared" si="41"/>
        <v>0</v>
      </c>
      <c r="I293" s="307">
        <f t="shared" si="41"/>
        <v>0</v>
      </c>
      <c r="J293" s="307">
        <f t="shared" si="41"/>
        <v>0</v>
      </c>
      <c r="K293" s="307">
        <f t="shared" si="41"/>
        <v>0</v>
      </c>
      <c r="L293" s="307">
        <f t="shared" si="41"/>
        <v>0</v>
      </c>
      <c r="M293" s="309">
        <f>IFERROR('ادخال  التوقعات المالية'!D69/'ادخال  التوقعات المالية'!C69,0)</f>
        <v>0</v>
      </c>
      <c r="N293" s="227"/>
      <c r="O293" s="227"/>
      <c r="P293" s="232"/>
      <c r="Q293" s="94" t="str">
        <f t="shared" si="33"/>
        <v>-</v>
      </c>
      <c r="R293" s="81"/>
      <c r="S293" s="81"/>
      <c r="T293" s="81"/>
      <c r="U293" s="81"/>
      <c r="V293" s="81">
        <f t="shared" si="34"/>
        <v>0</v>
      </c>
      <c r="W293" s="83">
        <f t="shared" si="35"/>
        <v>0</v>
      </c>
      <c r="X293" s="83">
        <f t="shared" si="36"/>
        <v>0</v>
      </c>
      <c r="Y293" s="83">
        <f t="shared" si="37"/>
        <v>0</v>
      </c>
      <c r="Z293" s="83">
        <f t="shared" si="38"/>
        <v>0</v>
      </c>
      <c r="AA293" s="83">
        <f t="shared" si="39"/>
        <v>0</v>
      </c>
      <c r="AB293" s="84">
        <f t="shared" si="40"/>
        <v>0</v>
      </c>
      <c r="AC293" s="82"/>
      <c r="AD293" s="82"/>
      <c r="AE293" s="82"/>
      <c r="AF293" s="82"/>
      <c r="AG293" s="82"/>
      <c r="AH293" s="82"/>
      <c r="AI293" s="82"/>
      <c r="AJ293" s="82"/>
      <c r="AK293" s="82"/>
      <c r="AL293" s="82"/>
      <c r="AM293" s="82"/>
      <c r="AN293" s="82"/>
    </row>
    <row r="294" spans="1:40" ht="20.7" customHeight="1" x14ac:dyDescent="0.25">
      <c r="A294" s="227"/>
      <c r="B294" s="230" t="s">
        <v>32</v>
      </c>
      <c r="C294" s="227"/>
      <c r="D294" s="559" t="s">
        <v>11</v>
      </c>
      <c r="E294" s="559"/>
      <c r="F294" s="559"/>
      <c r="G294" s="559"/>
      <c r="H294" s="225">
        <f>SUM(H284:H293)</f>
        <v>1827441.4000000001</v>
      </c>
      <c r="I294" s="225">
        <f>SUM(I284:I293)</f>
        <v>2751324.55</v>
      </c>
      <c r="J294" s="225">
        <f>SUM(J284:J293)</f>
        <v>3386245.6</v>
      </c>
      <c r="K294" s="225">
        <f>SUM(K284:K293)</f>
        <v>3809526.3</v>
      </c>
      <c r="L294" s="225">
        <f>SUM(L284:L293)</f>
        <v>4232807</v>
      </c>
      <c r="M294" s="226">
        <f>IFERROR(L294/L280,"")</f>
        <v>0.42328323969943821</v>
      </c>
      <c r="N294" s="227"/>
      <c r="O294" s="227"/>
      <c r="P294" s="232"/>
      <c r="Q294" s="94" t="str">
        <f t="shared" si="33"/>
        <v>Yes</v>
      </c>
      <c r="R294" s="81"/>
      <c r="S294" s="81"/>
      <c r="T294" s="81"/>
      <c r="U294" s="81"/>
      <c r="V294" s="81"/>
      <c r="W294" s="81"/>
      <c r="X294" s="81"/>
      <c r="Y294" s="81"/>
      <c r="Z294" s="82"/>
      <c r="AA294" s="82"/>
      <c r="AB294" s="82"/>
      <c r="AC294" s="82"/>
      <c r="AD294" s="82"/>
      <c r="AE294" s="82"/>
      <c r="AF294" s="82"/>
      <c r="AG294" s="82"/>
      <c r="AH294" s="82"/>
      <c r="AI294" s="82"/>
      <c r="AJ294" s="82"/>
      <c r="AK294" s="82"/>
      <c r="AL294" s="82"/>
      <c r="AM294" s="82"/>
      <c r="AN294" s="82"/>
    </row>
    <row r="295" spans="1:40" ht="24.75" customHeight="1" x14ac:dyDescent="0.25">
      <c r="A295" s="227"/>
      <c r="B295" s="230" t="s">
        <v>32</v>
      </c>
      <c r="C295" s="227"/>
      <c r="D295" s="227"/>
      <c r="E295" s="227"/>
      <c r="F295" s="227"/>
      <c r="G295" s="227"/>
      <c r="H295" s="227"/>
      <c r="I295" s="231"/>
      <c r="J295" s="227"/>
      <c r="K295" s="227"/>
      <c r="L295" s="229"/>
      <c r="M295" s="227"/>
      <c r="N295" s="227"/>
      <c r="O295" s="227"/>
      <c r="P295" s="232"/>
      <c r="Q295" s="94" t="s">
        <v>130</v>
      </c>
      <c r="R295" s="81"/>
      <c r="S295" s="81"/>
      <c r="T295" s="81"/>
      <c r="U295" s="81"/>
      <c r="V295" s="81"/>
      <c r="W295" s="81"/>
      <c r="X295" s="81"/>
      <c r="Y295" s="82"/>
      <c r="Z295" s="82"/>
      <c r="AA295" s="82"/>
      <c r="AB295" s="82"/>
      <c r="AC295" s="82"/>
      <c r="AD295" s="82"/>
      <c r="AE295" s="82"/>
      <c r="AF295" s="82"/>
      <c r="AG295" s="82"/>
      <c r="AH295" s="82"/>
      <c r="AI295" s="82"/>
      <c r="AJ295" s="82"/>
      <c r="AK295" s="82"/>
      <c r="AL295" s="82"/>
      <c r="AM295" s="82"/>
      <c r="AN295" s="82"/>
    </row>
    <row r="296" spans="1:40" ht="15.45" customHeight="1" x14ac:dyDescent="0.25">
      <c r="A296" s="243"/>
      <c r="B296" s="230"/>
      <c r="C296" s="243"/>
      <c r="D296" s="243"/>
      <c r="E296" s="243"/>
      <c r="F296" s="243"/>
      <c r="G296" s="243"/>
      <c r="H296" s="243"/>
      <c r="I296" s="258"/>
      <c r="J296" s="243"/>
      <c r="K296" s="243"/>
      <c r="L296" s="243"/>
      <c r="M296" s="243"/>
      <c r="N296" s="243"/>
      <c r="O296" s="243"/>
      <c r="P296" s="232"/>
      <c r="Q296" s="94" t="s">
        <v>130</v>
      </c>
      <c r="R296" s="81"/>
      <c r="S296" s="81"/>
      <c r="T296" s="81"/>
      <c r="U296" s="81"/>
      <c r="V296" s="81"/>
      <c r="W296" s="81"/>
      <c r="X296" s="81"/>
      <c r="Y296" s="82"/>
      <c r="Z296" s="82"/>
      <c r="AA296" s="82"/>
      <c r="AB296" s="82"/>
      <c r="AC296" s="82"/>
      <c r="AD296" s="82"/>
      <c r="AE296" s="82"/>
      <c r="AF296" s="82"/>
      <c r="AG296" s="82"/>
      <c r="AH296" s="82"/>
      <c r="AI296" s="82"/>
      <c r="AJ296" s="82"/>
      <c r="AK296" s="82"/>
      <c r="AL296" s="82"/>
      <c r="AM296" s="82"/>
      <c r="AN296" s="82"/>
    </row>
    <row r="297" spans="1:40" ht="15" x14ac:dyDescent="0.25">
      <c r="A297" s="243"/>
      <c r="B297" s="230" t="s">
        <v>288</v>
      </c>
      <c r="C297" s="243"/>
      <c r="D297" s="243"/>
      <c r="E297" s="243"/>
      <c r="F297" s="243"/>
      <c r="G297" s="243"/>
      <c r="H297" s="243"/>
      <c r="I297" s="258"/>
      <c r="J297" s="243"/>
      <c r="K297" s="243"/>
      <c r="L297" s="243"/>
      <c r="M297" s="243"/>
      <c r="N297" s="243"/>
      <c r="O297" s="243"/>
      <c r="P297" s="232"/>
      <c r="Q297" s="94" t="s">
        <v>130</v>
      </c>
      <c r="R297" s="81"/>
      <c r="S297" s="81"/>
      <c r="T297" s="81"/>
      <c r="U297" s="81"/>
      <c r="V297" s="81"/>
      <c r="W297" s="81"/>
      <c r="X297" s="81"/>
      <c r="Y297" s="82"/>
      <c r="Z297" s="82"/>
      <c r="AA297" s="82"/>
      <c r="AB297" s="82"/>
      <c r="AC297" s="82"/>
      <c r="AD297" s="82"/>
      <c r="AE297" s="82"/>
      <c r="AF297" s="82"/>
      <c r="AG297" s="82"/>
      <c r="AH297" s="82"/>
      <c r="AI297" s="82"/>
      <c r="AJ297" s="82"/>
      <c r="AK297" s="82"/>
      <c r="AL297" s="82"/>
      <c r="AM297" s="82"/>
      <c r="AN297" s="82"/>
    </row>
    <row r="298" spans="1:40" ht="24" customHeight="1" x14ac:dyDescent="0.25">
      <c r="A298" s="227"/>
      <c r="B298" s="230"/>
      <c r="C298" s="227"/>
      <c r="D298" s="227"/>
      <c r="E298" s="77" t="s">
        <v>296</v>
      </c>
      <c r="F298" s="227"/>
      <c r="G298" s="227"/>
      <c r="H298" s="227"/>
      <c r="I298" s="227"/>
      <c r="J298" s="227"/>
      <c r="K298" s="227"/>
      <c r="L298" s="227"/>
      <c r="M298" s="227"/>
      <c r="O298" s="227"/>
      <c r="P298" s="232"/>
      <c r="Q298" s="94" t="s">
        <v>130</v>
      </c>
      <c r="R298" s="81" t="s">
        <v>131</v>
      </c>
      <c r="S298" s="81"/>
      <c r="T298" s="81"/>
      <c r="U298" s="81"/>
      <c r="V298" s="81"/>
      <c r="W298" s="81"/>
      <c r="X298" s="81"/>
      <c r="Y298" s="82"/>
      <c r="Z298" s="82"/>
      <c r="AA298" s="82"/>
      <c r="AB298" s="82"/>
      <c r="AC298" s="82"/>
      <c r="AD298" s="82"/>
      <c r="AE298" s="82"/>
      <c r="AF298" s="82"/>
      <c r="AG298" s="82"/>
      <c r="AH298" s="82"/>
      <c r="AI298" s="82"/>
      <c r="AJ298" s="82"/>
      <c r="AK298" s="82"/>
      <c r="AL298" s="82"/>
      <c r="AM298" s="82"/>
      <c r="AN298" s="82"/>
    </row>
    <row r="299" spans="1:40" ht="28.5" customHeight="1" x14ac:dyDescent="0.25">
      <c r="A299" s="227"/>
      <c r="B299" s="230" t="s">
        <v>32</v>
      </c>
      <c r="C299" s="227"/>
      <c r="D299" s="569" t="s">
        <v>22</v>
      </c>
      <c r="E299" s="570"/>
      <c r="F299" s="570"/>
      <c r="G299" s="571"/>
      <c r="H299" s="223">
        <f>H283</f>
        <v>2024</v>
      </c>
      <c r="I299" s="223">
        <f>I283</f>
        <v>2025</v>
      </c>
      <c r="J299" s="223">
        <f>J283</f>
        <v>2026</v>
      </c>
      <c r="K299" s="223">
        <f>K283</f>
        <v>2027</v>
      </c>
      <c r="L299" s="223">
        <f>L283</f>
        <v>2028</v>
      </c>
      <c r="M299" s="227"/>
      <c r="O299" s="227"/>
      <c r="P299" s="232"/>
      <c r="Q299" s="94" t="s">
        <v>130</v>
      </c>
      <c r="R299" s="81"/>
      <c r="S299" s="81"/>
      <c r="T299" s="81"/>
      <c r="U299" s="81"/>
      <c r="V299" s="81"/>
      <c r="W299" s="81"/>
      <c r="X299" s="81"/>
      <c r="Y299" s="82"/>
      <c r="Z299" s="82"/>
      <c r="AA299" s="82"/>
      <c r="AB299" s="82"/>
      <c r="AC299" s="82"/>
      <c r="AD299" s="82"/>
      <c r="AE299" s="82"/>
      <c r="AF299" s="82"/>
      <c r="AG299" s="82"/>
      <c r="AH299" s="82"/>
      <c r="AI299" s="82"/>
      <c r="AJ299" s="82"/>
      <c r="AK299" s="82"/>
      <c r="AL299" s="82"/>
      <c r="AM299" s="82"/>
      <c r="AN299" s="82"/>
    </row>
    <row r="300" spans="1:40" ht="34.200000000000003" customHeight="1" x14ac:dyDescent="0.25">
      <c r="A300" s="227"/>
      <c r="B300" s="230" t="s">
        <v>32</v>
      </c>
      <c r="C300" s="227"/>
      <c r="D300" s="560" t="s">
        <v>292</v>
      </c>
      <c r="E300" s="561"/>
      <c r="F300" s="561"/>
      <c r="G300" s="562"/>
      <c r="H300" s="365">
        <f>-(J177+J176+J173)/J157</f>
        <v>4698379.1265721601</v>
      </c>
      <c r="I300" s="365">
        <f>-(K177+K176+K173)/K157</f>
        <v>5130632.1127682738</v>
      </c>
      <c r="J300" s="365">
        <f>-(L177+L176+L173)/L157</f>
        <v>5590536.1954869824</v>
      </c>
      <c r="K300" s="365">
        <f>-(M177+M176+M173)/M157</f>
        <v>6061260.8229426406</v>
      </c>
      <c r="L300" s="365">
        <f>-(N177+N176+N173)/N157</f>
        <v>6409900.0059286281</v>
      </c>
      <c r="M300" s="227"/>
      <c r="O300" s="227"/>
      <c r="P300" s="232"/>
      <c r="Q300" s="94" t="str">
        <f t="shared" ref="Q300:Q304" si="42">IF(H300&gt;0,"Yes","-")</f>
        <v>Yes</v>
      </c>
      <c r="R300" s="81"/>
      <c r="S300" s="81"/>
      <c r="T300" s="81"/>
      <c r="U300" s="81"/>
      <c r="V300" s="81"/>
      <c r="W300" s="81"/>
      <c r="X300" s="81"/>
      <c r="Y300" s="82"/>
      <c r="Z300" s="82"/>
      <c r="AA300" s="82"/>
      <c r="AB300" s="82"/>
      <c r="AC300" s="82"/>
      <c r="AD300" s="82"/>
      <c r="AE300" s="82"/>
      <c r="AF300" s="82"/>
      <c r="AG300" s="82"/>
      <c r="AH300" s="82"/>
      <c r="AI300" s="82"/>
      <c r="AJ300" s="82"/>
      <c r="AK300" s="82"/>
      <c r="AL300" s="82"/>
      <c r="AM300" s="82"/>
      <c r="AN300" s="82"/>
    </row>
    <row r="301" spans="1:40" ht="34.200000000000003" customHeight="1" x14ac:dyDescent="0.25">
      <c r="A301" s="227"/>
      <c r="B301" s="230"/>
      <c r="C301" s="227"/>
      <c r="D301" s="560" t="s">
        <v>294</v>
      </c>
      <c r="E301" s="561"/>
      <c r="F301" s="561"/>
      <c r="G301" s="562"/>
      <c r="H301" s="365">
        <f>+H300/12</f>
        <v>391531.59388101334</v>
      </c>
      <c r="I301" s="365">
        <f>+I300/12</f>
        <v>427552.67606402282</v>
      </c>
      <c r="J301" s="365">
        <f>+J300/12</f>
        <v>465878.01629058184</v>
      </c>
      <c r="K301" s="365">
        <f>+K300/12</f>
        <v>505105.06857855339</v>
      </c>
      <c r="L301" s="365">
        <f>+L300/12</f>
        <v>534158.33382738568</v>
      </c>
      <c r="M301" s="227"/>
      <c r="O301" s="227"/>
      <c r="P301" s="232"/>
      <c r="Q301" s="94" t="str">
        <f t="shared" si="42"/>
        <v>Yes</v>
      </c>
      <c r="R301" s="81"/>
      <c r="S301" s="81"/>
      <c r="T301" s="81"/>
      <c r="U301" s="81"/>
      <c r="V301" s="81"/>
      <c r="W301" s="81"/>
      <c r="X301" s="81"/>
      <c r="Y301" s="82"/>
      <c r="Z301" s="82"/>
      <c r="AA301" s="82"/>
      <c r="AB301" s="82"/>
      <c r="AC301" s="82"/>
      <c r="AD301" s="82"/>
      <c r="AE301" s="82"/>
      <c r="AF301" s="82"/>
      <c r="AG301" s="82"/>
      <c r="AH301" s="82"/>
      <c r="AI301" s="82"/>
      <c r="AJ301" s="82"/>
      <c r="AK301" s="82"/>
      <c r="AL301" s="82"/>
      <c r="AM301" s="82"/>
      <c r="AN301" s="82"/>
    </row>
    <row r="302" spans="1:40" ht="34.200000000000003" customHeight="1" x14ac:dyDescent="0.25">
      <c r="A302" s="227"/>
      <c r="B302" s="230"/>
      <c r="C302" s="227"/>
      <c r="D302" s="560" t="s">
        <v>293</v>
      </c>
      <c r="E302" s="561"/>
      <c r="F302" s="561"/>
      <c r="G302" s="562"/>
      <c r="H302" s="365">
        <f>+H300/365</f>
        <v>12872.271579649754</v>
      </c>
      <c r="I302" s="365">
        <f>+I300/365</f>
        <v>14056.526336351435</v>
      </c>
      <c r="J302" s="365">
        <f>+J300/365</f>
        <v>15316.537521882143</v>
      </c>
      <c r="K302" s="365">
        <f>+K300/365</f>
        <v>16606.194035459288</v>
      </c>
      <c r="L302" s="365">
        <f>+L300/365</f>
        <v>17561.369879256516</v>
      </c>
      <c r="M302" s="227"/>
      <c r="O302" s="227"/>
      <c r="P302" s="232"/>
      <c r="Q302" s="94" t="str">
        <f t="shared" si="42"/>
        <v>Yes</v>
      </c>
      <c r="R302" s="81"/>
      <c r="S302" s="81"/>
      <c r="T302" s="81"/>
      <c r="U302" s="81"/>
      <c r="V302" s="81"/>
      <c r="W302" s="81"/>
      <c r="X302" s="81"/>
      <c r="Y302" s="82"/>
      <c r="Z302" s="82"/>
      <c r="AA302" s="82"/>
      <c r="AB302" s="82"/>
      <c r="AC302" s="82"/>
      <c r="AD302" s="82"/>
      <c r="AE302" s="82"/>
      <c r="AF302" s="82"/>
      <c r="AG302" s="82"/>
      <c r="AH302" s="82"/>
      <c r="AI302" s="82"/>
      <c r="AJ302" s="82"/>
      <c r="AK302" s="82"/>
      <c r="AL302" s="82"/>
      <c r="AM302" s="82"/>
      <c r="AN302" s="82"/>
    </row>
    <row r="303" spans="1:40" ht="25.95" customHeight="1" x14ac:dyDescent="0.3">
      <c r="A303" s="227"/>
      <c r="B303" s="230"/>
      <c r="C303" s="227"/>
      <c r="E303" s="450" t="s">
        <v>298</v>
      </c>
      <c r="F303" s="230"/>
      <c r="G303" s="230"/>
      <c r="H303" s="230"/>
      <c r="I303" s="230"/>
      <c r="J303" s="230"/>
      <c r="K303" s="230"/>
      <c r="L303" s="230"/>
      <c r="M303" s="230"/>
      <c r="O303" s="227"/>
      <c r="P303" s="232"/>
      <c r="Q303" s="94" t="str">
        <f>+Q302</f>
        <v>Yes</v>
      </c>
      <c r="R303" s="81"/>
      <c r="S303" s="81"/>
      <c r="T303" s="81"/>
      <c r="U303" s="81"/>
      <c r="V303" s="81"/>
      <c r="W303" s="81"/>
      <c r="X303" s="81"/>
      <c r="Y303" s="82"/>
      <c r="Z303" s="82"/>
      <c r="AA303" s="82"/>
      <c r="AB303" s="82"/>
      <c r="AC303" s="82"/>
      <c r="AD303" s="82"/>
      <c r="AE303" s="82"/>
      <c r="AF303" s="82"/>
      <c r="AG303" s="82"/>
      <c r="AH303" s="82"/>
      <c r="AI303" s="82"/>
      <c r="AJ303" s="82"/>
      <c r="AK303" s="82"/>
      <c r="AL303" s="82"/>
      <c r="AM303" s="82"/>
      <c r="AN303" s="82"/>
    </row>
    <row r="304" spans="1:40" ht="34.200000000000003" customHeight="1" x14ac:dyDescent="0.25">
      <c r="A304" s="227"/>
      <c r="B304" s="230"/>
      <c r="C304" s="227"/>
      <c r="D304" s="447" t="s">
        <v>297</v>
      </c>
      <c r="E304" s="448"/>
      <c r="F304" s="448"/>
      <c r="G304" s="449"/>
      <c r="H304" s="365">
        <f>+J153</f>
        <v>4317662</v>
      </c>
      <c r="I304" s="365">
        <f>+K153</f>
        <v>6499961</v>
      </c>
      <c r="J304" s="365">
        <f>+L153</f>
        <v>7999952</v>
      </c>
      <c r="K304" s="365">
        <f>+M153</f>
        <v>8999946</v>
      </c>
      <c r="L304" s="365">
        <f>+N153</f>
        <v>9999940</v>
      </c>
      <c r="M304" s="227"/>
      <c r="O304" s="227"/>
      <c r="P304" s="232"/>
      <c r="Q304" s="94" t="str">
        <f t="shared" si="42"/>
        <v>Yes</v>
      </c>
      <c r="R304" s="81"/>
      <c r="S304" s="81"/>
      <c r="T304" s="81"/>
      <c r="U304" s="81"/>
      <c r="V304" s="81"/>
      <c r="W304" s="81"/>
      <c r="X304" s="81"/>
      <c r="Y304" s="82"/>
      <c r="Z304" s="82"/>
      <c r="AA304" s="82"/>
      <c r="AB304" s="82"/>
      <c r="AC304" s="82"/>
      <c r="AD304" s="82"/>
      <c r="AE304" s="82"/>
      <c r="AF304" s="82"/>
      <c r="AG304" s="82"/>
      <c r="AH304" s="82"/>
      <c r="AI304" s="82"/>
      <c r="AJ304" s="82"/>
      <c r="AK304" s="82"/>
      <c r="AL304" s="82"/>
      <c r="AM304" s="82"/>
      <c r="AN304" s="82"/>
    </row>
    <row r="305" spans="1:40" ht="34.200000000000003" customHeight="1" x14ac:dyDescent="0.25">
      <c r="A305" s="227"/>
      <c r="B305" s="230" t="s">
        <v>32</v>
      </c>
      <c r="C305" s="227"/>
      <c r="D305" s="560" t="s">
        <v>295</v>
      </c>
      <c r="E305" s="561"/>
      <c r="F305" s="561"/>
      <c r="G305" s="562"/>
      <c r="H305" s="365">
        <f>+H304-H300</f>
        <v>-380717.12657216005</v>
      </c>
      <c r="I305" s="365">
        <f>+I304-I300</f>
        <v>1369328.8872317262</v>
      </c>
      <c r="J305" s="365">
        <f>+J304-J300</f>
        <v>2409415.8045130176</v>
      </c>
      <c r="K305" s="365">
        <f>+K304-K300</f>
        <v>2938685.1770573594</v>
      </c>
      <c r="L305" s="365">
        <f>+L304-L300</f>
        <v>3590039.9940713719</v>
      </c>
      <c r="M305" s="227"/>
      <c r="O305" s="227"/>
      <c r="P305" s="232"/>
      <c r="Q305" s="94" t="s">
        <v>130</v>
      </c>
      <c r="R305" s="81"/>
      <c r="S305" s="81"/>
      <c r="T305" s="81"/>
      <c r="U305" s="81"/>
      <c r="V305" s="81"/>
      <c r="W305" s="81"/>
      <c r="X305" s="81"/>
      <c r="Y305" s="82"/>
      <c r="Z305" s="82"/>
      <c r="AA305" s="82"/>
      <c r="AB305" s="82"/>
      <c r="AC305" s="82"/>
      <c r="AD305" s="82"/>
      <c r="AE305" s="82"/>
      <c r="AF305" s="82"/>
      <c r="AG305" s="82"/>
      <c r="AH305" s="82"/>
      <c r="AI305" s="82"/>
      <c r="AJ305" s="82"/>
      <c r="AK305" s="82"/>
      <c r="AL305" s="82"/>
      <c r="AM305" s="82"/>
      <c r="AN305" s="82"/>
    </row>
    <row r="306" spans="1:40" ht="34.200000000000003" customHeight="1" thickBot="1" x14ac:dyDescent="0.3">
      <c r="A306" s="227"/>
      <c r="B306" s="230"/>
      <c r="C306" s="227"/>
      <c r="D306" s="566" t="s">
        <v>299</v>
      </c>
      <c r="E306" s="567"/>
      <c r="F306" s="567"/>
      <c r="G306" s="568"/>
      <c r="H306" s="446">
        <f>+H305/H304</f>
        <v>-8.8176686033357876E-2</v>
      </c>
      <c r="I306" s="446">
        <f t="shared" ref="I306:L306" si="43">+I305/I304</f>
        <v>0.21066724665451472</v>
      </c>
      <c r="J306" s="446">
        <f t="shared" si="43"/>
        <v>0.30117878263682302</v>
      </c>
      <c r="K306" s="446">
        <f t="shared" si="43"/>
        <v>0.32652253436380169</v>
      </c>
      <c r="L306" s="446">
        <f t="shared" si="43"/>
        <v>0.35900615344405784</v>
      </c>
      <c r="M306" s="227"/>
      <c r="O306" s="227"/>
      <c r="P306" s="232"/>
      <c r="Q306" s="94" t="str">
        <f>+Q305</f>
        <v>Yes</v>
      </c>
      <c r="R306" s="81"/>
      <c r="S306" s="81"/>
      <c r="T306" s="81"/>
      <c r="U306" s="81"/>
      <c r="V306" s="81"/>
      <c r="W306" s="81"/>
      <c r="X306" s="81"/>
      <c r="Y306" s="82"/>
      <c r="Z306" s="82"/>
      <c r="AA306" s="82"/>
      <c r="AB306" s="82"/>
      <c r="AC306" s="82"/>
      <c r="AD306" s="82"/>
      <c r="AE306" s="82"/>
      <c r="AF306" s="82"/>
      <c r="AG306" s="82"/>
      <c r="AH306" s="82"/>
      <c r="AI306" s="82"/>
      <c r="AJ306" s="82"/>
      <c r="AK306" s="82"/>
      <c r="AL306" s="82"/>
      <c r="AM306" s="82"/>
      <c r="AN306" s="82"/>
    </row>
    <row r="307" spans="1:40" ht="15.6" thickTop="1" x14ac:dyDescent="0.25">
      <c r="A307" s="227"/>
      <c r="B307" s="230" t="s">
        <v>32</v>
      </c>
      <c r="C307" s="227"/>
      <c r="D307" s="227"/>
      <c r="E307" s="227"/>
      <c r="F307" s="227"/>
      <c r="G307" s="227"/>
      <c r="H307" s="228"/>
      <c r="I307" s="228"/>
      <c r="J307" s="228"/>
      <c r="K307" s="228"/>
      <c r="L307" s="228"/>
      <c r="M307" s="227"/>
      <c r="O307" s="227"/>
      <c r="P307" s="232"/>
      <c r="Q307" s="94" t="s">
        <v>130</v>
      </c>
      <c r="R307" s="81"/>
      <c r="S307" s="81"/>
      <c r="T307" s="81"/>
      <c r="U307" s="81"/>
      <c r="V307" s="81"/>
      <c r="W307" s="81"/>
      <c r="X307" s="81"/>
      <c r="Y307" s="82"/>
      <c r="Z307" s="82"/>
      <c r="AA307" s="82"/>
      <c r="AB307" s="82"/>
      <c r="AC307" s="82"/>
      <c r="AD307" s="82"/>
      <c r="AE307" s="82"/>
      <c r="AF307" s="82"/>
      <c r="AG307" s="82"/>
      <c r="AH307" s="82"/>
      <c r="AI307" s="82"/>
      <c r="AJ307" s="82"/>
      <c r="AK307" s="82"/>
      <c r="AL307" s="82"/>
      <c r="AM307" s="82"/>
      <c r="AN307" s="82"/>
    </row>
    <row r="308" spans="1:40" ht="15.6" x14ac:dyDescent="0.25">
      <c r="A308" s="243"/>
      <c r="B308" s="230"/>
      <c r="C308" s="243"/>
      <c r="D308" s="243"/>
      <c r="E308" s="243"/>
      <c r="F308" s="77"/>
      <c r="G308" s="243"/>
      <c r="H308" s="243"/>
      <c r="I308" s="258"/>
      <c r="J308" s="243"/>
      <c r="K308" s="243"/>
      <c r="L308" s="243"/>
      <c r="M308" s="243"/>
      <c r="N308" s="243"/>
      <c r="O308" s="243"/>
      <c r="P308" s="232"/>
      <c r="Q308" s="94" t="s">
        <v>130</v>
      </c>
      <c r="R308" s="81"/>
      <c r="S308" s="81"/>
      <c r="T308" s="81"/>
      <c r="U308" s="81"/>
      <c r="V308" s="81"/>
      <c r="W308" s="81"/>
      <c r="X308" s="81"/>
      <c r="Y308" s="82"/>
      <c r="Z308" s="82"/>
      <c r="AA308" s="82"/>
      <c r="AB308" s="82"/>
      <c r="AC308" s="82"/>
      <c r="AD308" s="82"/>
      <c r="AE308" s="82"/>
      <c r="AF308" s="82"/>
      <c r="AG308" s="82"/>
      <c r="AH308" s="82"/>
      <c r="AI308" s="82"/>
      <c r="AJ308" s="82"/>
      <c r="AK308" s="82"/>
      <c r="AL308" s="82"/>
      <c r="AM308" s="82"/>
      <c r="AN308" s="82"/>
    </row>
    <row r="309" spans="1:40" ht="30.45" customHeight="1" x14ac:dyDescent="0.25">
      <c r="A309" s="227"/>
      <c r="B309" s="230" t="s">
        <v>32</v>
      </c>
      <c r="C309" s="317"/>
      <c r="D309" s="318"/>
      <c r="E309" s="318" t="s">
        <v>232</v>
      </c>
      <c r="F309" s="318"/>
      <c r="G309" s="318"/>
      <c r="H309" s="318"/>
      <c r="I309" s="318"/>
      <c r="J309" s="318"/>
      <c r="K309" s="318"/>
      <c r="L309" s="318"/>
      <c r="M309" s="318"/>
      <c r="N309" s="318"/>
      <c r="O309" s="318"/>
      <c r="P309" s="232"/>
      <c r="Q309" s="94" t="s">
        <v>130</v>
      </c>
      <c r="R309" s="81"/>
      <c r="S309" s="81"/>
      <c r="T309" s="81"/>
      <c r="U309" s="81"/>
      <c r="V309" s="81"/>
      <c r="W309" s="81"/>
      <c r="X309" s="81"/>
      <c r="Y309" s="82"/>
      <c r="Z309" s="82"/>
      <c r="AA309" s="82"/>
      <c r="AB309" s="82"/>
      <c r="AC309" s="82"/>
      <c r="AD309" s="82"/>
      <c r="AE309" s="82"/>
      <c r="AF309" s="82"/>
      <c r="AG309" s="82"/>
      <c r="AH309" s="82"/>
      <c r="AI309" s="82"/>
      <c r="AJ309" s="82"/>
      <c r="AK309" s="82"/>
      <c r="AL309" s="82"/>
      <c r="AM309" s="82"/>
      <c r="AN309" s="82"/>
    </row>
    <row r="310" spans="1:40" ht="15.6" x14ac:dyDescent="0.25">
      <c r="A310" s="227"/>
      <c r="B310" s="230"/>
      <c r="C310" s="227"/>
      <c r="D310" s="227"/>
      <c r="E310" s="227"/>
      <c r="F310" s="227"/>
      <c r="G310" s="227"/>
      <c r="H310" s="227"/>
      <c r="I310" s="231"/>
      <c r="J310" s="227"/>
      <c r="K310" s="271"/>
      <c r="L310" s="271"/>
      <c r="M310" s="271"/>
      <c r="N310" s="227"/>
      <c r="O310" s="272"/>
      <c r="P310" s="232"/>
      <c r="Q310" s="94" t="s">
        <v>130</v>
      </c>
      <c r="R310" s="81"/>
      <c r="S310" s="81"/>
      <c r="T310" s="81"/>
      <c r="U310" s="81"/>
      <c r="V310" s="81"/>
      <c r="W310" s="81"/>
      <c r="X310" s="81"/>
      <c r="Y310" s="82"/>
      <c r="Z310" s="82"/>
      <c r="AA310" s="82"/>
      <c r="AB310" s="82"/>
      <c r="AC310" s="82"/>
      <c r="AD310" s="82"/>
      <c r="AE310" s="82"/>
      <c r="AF310" s="82"/>
      <c r="AG310" s="82"/>
      <c r="AH310" s="82"/>
      <c r="AI310" s="82"/>
      <c r="AJ310" s="82"/>
      <c r="AK310" s="82"/>
      <c r="AL310" s="82"/>
      <c r="AM310" s="82"/>
      <c r="AN310" s="82"/>
    </row>
    <row r="311" spans="1:40" ht="24.75" customHeight="1" x14ac:dyDescent="0.25">
      <c r="A311" s="227"/>
      <c r="B311" s="230"/>
      <c r="C311" s="227"/>
      <c r="D311" s="227"/>
      <c r="E311" s="227"/>
      <c r="F311" s="227"/>
      <c r="G311" s="227"/>
      <c r="H311" s="227"/>
      <c r="I311" s="231"/>
      <c r="J311" s="227"/>
      <c r="K311" s="227"/>
      <c r="L311" s="227"/>
      <c r="M311" s="227"/>
      <c r="N311" s="227"/>
      <c r="O311" s="229"/>
      <c r="P311" s="232"/>
      <c r="Q311" s="94" t="s">
        <v>130</v>
      </c>
      <c r="R311" s="81"/>
      <c r="S311" s="81"/>
      <c r="T311" s="81"/>
      <c r="U311" s="81"/>
      <c r="V311" s="81"/>
      <c r="W311" s="81"/>
      <c r="X311" s="81"/>
      <c r="Y311" s="82"/>
      <c r="Z311" s="82"/>
      <c r="AA311" s="82"/>
      <c r="AB311" s="82"/>
      <c r="AC311" s="82"/>
      <c r="AD311" s="82"/>
      <c r="AE311" s="82"/>
      <c r="AF311" s="82"/>
      <c r="AG311" s="82"/>
      <c r="AH311" s="82"/>
      <c r="AI311" s="82"/>
      <c r="AJ311" s="82"/>
      <c r="AK311" s="82"/>
      <c r="AL311" s="82"/>
      <c r="AM311" s="82"/>
      <c r="AN311" s="82"/>
    </row>
    <row r="312" spans="1:40" ht="15" customHeight="1" x14ac:dyDescent="0.25">
      <c r="A312" s="227"/>
      <c r="B312" s="230"/>
      <c r="C312" s="227"/>
      <c r="D312" s="551"/>
      <c r="E312" s="551"/>
      <c r="F312" s="551"/>
      <c r="G312" s="551"/>
      <c r="H312" s="227"/>
      <c r="I312" s="231"/>
      <c r="J312" s="227"/>
      <c r="K312" s="227"/>
      <c r="L312" s="227"/>
      <c r="M312" s="227"/>
      <c r="N312" s="227"/>
      <c r="O312" s="229"/>
      <c r="P312" s="232"/>
      <c r="Q312" s="94" t="s">
        <v>130</v>
      </c>
      <c r="R312" s="81"/>
      <c r="S312" s="81"/>
      <c r="T312" s="81"/>
      <c r="U312" s="81"/>
      <c r="V312" s="81"/>
      <c r="W312" s="81"/>
      <c r="X312" s="81"/>
      <c r="Y312" s="82"/>
      <c r="Z312" s="82"/>
      <c r="AA312" s="82"/>
      <c r="AB312" s="82"/>
      <c r="AC312" s="82"/>
      <c r="AD312" s="82"/>
      <c r="AE312" s="82"/>
      <c r="AF312" s="82"/>
      <c r="AG312" s="82"/>
      <c r="AH312" s="82"/>
      <c r="AI312" s="82"/>
      <c r="AJ312" s="82"/>
      <c r="AK312" s="82"/>
      <c r="AL312" s="82"/>
      <c r="AM312" s="82"/>
      <c r="AN312" s="82"/>
    </row>
    <row r="313" spans="1:40" ht="15" customHeight="1" x14ac:dyDescent="0.25">
      <c r="A313" s="243"/>
      <c r="B313" s="230"/>
      <c r="C313" s="243"/>
      <c r="D313" s="243"/>
      <c r="E313" s="243"/>
      <c r="F313" s="243"/>
      <c r="G313" s="243"/>
      <c r="H313" s="243"/>
      <c r="I313" s="258"/>
      <c r="J313" s="243"/>
      <c r="K313" s="243"/>
      <c r="L313" s="243"/>
      <c r="M313" s="243"/>
      <c r="N313" s="243"/>
      <c r="O313" s="310"/>
      <c r="P313" s="232"/>
      <c r="Q313" s="94" t="s">
        <v>130</v>
      </c>
      <c r="R313" s="81"/>
      <c r="S313" s="81"/>
      <c r="T313" s="81"/>
      <c r="U313" s="81"/>
      <c r="V313" s="81"/>
      <c r="W313" s="81"/>
      <c r="X313" s="81"/>
      <c r="Y313" s="82"/>
      <c r="Z313" s="82"/>
      <c r="AA313" s="82"/>
      <c r="AB313" s="82"/>
      <c r="AC313" s="82"/>
      <c r="AD313" s="82"/>
      <c r="AE313" s="82"/>
      <c r="AF313" s="82"/>
      <c r="AG313" s="82"/>
      <c r="AH313" s="82"/>
      <c r="AI313" s="82"/>
      <c r="AJ313" s="82"/>
      <c r="AK313" s="82"/>
      <c r="AL313" s="82"/>
      <c r="AM313" s="82"/>
      <c r="AN313" s="82"/>
    </row>
    <row r="314" spans="1:40" ht="15.6" x14ac:dyDescent="0.25">
      <c r="A314" s="243"/>
      <c r="B314" s="230"/>
      <c r="C314" s="243"/>
      <c r="D314" s="243"/>
      <c r="E314" s="243"/>
      <c r="F314" s="243"/>
      <c r="G314" s="243"/>
      <c r="H314" s="243"/>
      <c r="I314" s="258"/>
      <c r="J314" s="243"/>
      <c r="K314" s="243"/>
      <c r="L314" s="243"/>
      <c r="M314" s="243"/>
      <c r="N314" s="243"/>
      <c r="O314" s="310"/>
      <c r="P314" s="232"/>
      <c r="Q314" s="94" t="s">
        <v>130</v>
      </c>
      <c r="R314" s="81"/>
      <c r="S314" s="81"/>
      <c r="T314" s="81"/>
      <c r="U314" s="81"/>
      <c r="V314" s="81"/>
      <c r="W314" s="81"/>
      <c r="X314" s="81"/>
      <c r="Y314" s="82"/>
      <c r="Z314" s="82"/>
      <c r="AA314" s="82"/>
      <c r="AB314" s="82"/>
      <c r="AC314" s="82"/>
      <c r="AD314" s="82"/>
      <c r="AE314" s="82"/>
      <c r="AF314" s="82"/>
      <c r="AG314" s="82"/>
      <c r="AH314" s="82"/>
      <c r="AI314" s="82"/>
      <c r="AJ314" s="82"/>
      <c r="AK314" s="82"/>
      <c r="AL314" s="82"/>
      <c r="AM314" s="82"/>
      <c r="AN314" s="82"/>
    </row>
    <row r="315" spans="1:40" ht="15.6" x14ac:dyDescent="0.25">
      <c r="A315" s="243"/>
      <c r="B315" s="230"/>
      <c r="C315" s="243"/>
      <c r="D315" s="243"/>
      <c r="E315" s="243"/>
      <c r="F315" s="243"/>
      <c r="G315" s="243"/>
      <c r="H315" s="243"/>
      <c r="I315" s="258"/>
      <c r="J315" s="243"/>
      <c r="K315" s="243"/>
      <c r="L315" s="243"/>
      <c r="M315" s="243"/>
      <c r="N315" s="243"/>
      <c r="O315" s="310"/>
      <c r="P315" s="232"/>
      <c r="Q315" s="94" t="s">
        <v>130</v>
      </c>
      <c r="R315" s="81"/>
      <c r="S315" s="81"/>
      <c r="T315" s="81"/>
      <c r="U315" s="81"/>
      <c r="V315" s="81"/>
      <c r="W315" s="81"/>
      <c r="X315" s="81"/>
      <c r="Y315" s="82"/>
      <c r="Z315" s="82"/>
      <c r="AA315" s="82"/>
      <c r="AB315" s="82"/>
      <c r="AC315" s="82"/>
      <c r="AD315" s="82"/>
      <c r="AE315" s="82"/>
      <c r="AF315" s="82"/>
      <c r="AG315" s="82"/>
      <c r="AH315" s="82"/>
      <c r="AI315" s="82"/>
      <c r="AJ315" s="82"/>
      <c r="AK315" s="82"/>
      <c r="AL315" s="82"/>
      <c r="AM315" s="82"/>
      <c r="AN315" s="82"/>
    </row>
    <row r="316" spans="1:40" ht="15.6" x14ac:dyDescent="0.25">
      <c r="A316" s="243"/>
      <c r="B316" s="230"/>
      <c r="C316" s="243"/>
      <c r="D316" s="243"/>
      <c r="E316" s="243"/>
      <c r="F316" s="243"/>
      <c r="G316" s="243"/>
      <c r="H316" s="243"/>
      <c r="I316" s="258"/>
      <c r="J316" s="243"/>
      <c r="K316" s="243"/>
      <c r="L316" s="243"/>
      <c r="M316" s="243"/>
      <c r="N316" s="243"/>
      <c r="O316" s="310"/>
      <c r="P316" s="232"/>
      <c r="Q316" s="94" t="s">
        <v>130</v>
      </c>
      <c r="R316" s="81"/>
      <c r="S316" s="81"/>
      <c r="T316" s="81"/>
      <c r="U316" s="81"/>
      <c r="V316" s="81"/>
      <c r="W316" s="81"/>
      <c r="X316" s="81"/>
      <c r="Y316" s="82"/>
      <c r="Z316" s="82"/>
      <c r="AA316" s="82"/>
      <c r="AB316" s="82"/>
      <c r="AC316" s="82"/>
      <c r="AD316" s="82"/>
      <c r="AE316" s="82"/>
      <c r="AF316" s="82"/>
      <c r="AG316" s="82"/>
      <c r="AH316" s="82"/>
      <c r="AI316" s="82"/>
      <c r="AJ316" s="82"/>
      <c r="AK316" s="82"/>
      <c r="AL316" s="82"/>
      <c r="AM316" s="82"/>
      <c r="AN316" s="82"/>
    </row>
    <row r="317" spans="1:40" ht="15.6" x14ac:dyDescent="0.25">
      <c r="A317" s="243"/>
      <c r="B317" s="230"/>
      <c r="C317" s="243"/>
      <c r="D317" s="243"/>
      <c r="E317" s="243"/>
      <c r="F317" s="243"/>
      <c r="G317" s="243"/>
      <c r="H317" s="243"/>
      <c r="I317" s="258"/>
      <c r="J317" s="243"/>
      <c r="K317" s="243"/>
      <c r="L317" s="243"/>
      <c r="M317" s="243"/>
      <c r="N317" s="243"/>
      <c r="O317" s="310"/>
      <c r="P317" s="232"/>
      <c r="Q317" s="94" t="s">
        <v>130</v>
      </c>
      <c r="R317" s="81"/>
      <c r="S317" s="81"/>
      <c r="T317" s="81"/>
      <c r="U317" s="81"/>
      <c r="V317" s="81"/>
      <c r="W317" s="81"/>
      <c r="X317" s="81"/>
      <c r="Y317" s="82"/>
      <c r="Z317" s="82"/>
      <c r="AA317" s="82"/>
      <c r="AB317" s="82"/>
      <c r="AC317" s="82"/>
      <c r="AD317" s="82"/>
      <c r="AE317" s="82"/>
      <c r="AF317" s="82"/>
      <c r="AG317" s="82"/>
      <c r="AH317" s="82"/>
      <c r="AI317" s="82"/>
      <c r="AJ317" s="82"/>
      <c r="AK317" s="82"/>
      <c r="AL317" s="82"/>
      <c r="AM317" s="82"/>
      <c r="AN317" s="82"/>
    </row>
    <row r="318" spans="1:40" ht="15.6" x14ac:dyDescent="0.25">
      <c r="A318" s="243"/>
      <c r="B318" s="230"/>
      <c r="C318" s="243"/>
      <c r="D318" s="243"/>
      <c r="E318" s="243"/>
      <c r="F318" s="243"/>
      <c r="G318" s="243"/>
      <c r="H318" s="243"/>
      <c r="I318" s="258"/>
      <c r="J318" s="243"/>
      <c r="K318" s="243"/>
      <c r="L318" s="243"/>
      <c r="M318" s="243"/>
      <c r="N318" s="243"/>
      <c r="O318" s="310"/>
      <c r="P318" s="232"/>
      <c r="Q318" s="94" t="s">
        <v>130</v>
      </c>
      <c r="R318" s="81"/>
      <c r="S318" s="81"/>
      <c r="T318" s="81"/>
      <c r="U318" s="81"/>
      <c r="V318" s="81"/>
      <c r="W318" s="81"/>
      <c r="X318" s="81"/>
      <c r="Y318" s="82"/>
      <c r="Z318" s="82"/>
      <c r="AA318" s="82"/>
      <c r="AB318" s="82"/>
      <c r="AC318" s="82"/>
      <c r="AD318" s="82"/>
      <c r="AE318" s="82"/>
      <c r="AF318" s="82"/>
      <c r="AG318" s="82"/>
      <c r="AH318" s="82"/>
      <c r="AI318" s="82"/>
      <c r="AJ318" s="82"/>
      <c r="AK318" s="82"/>
      <c r="AL318" s="82"/>
      <c r="AM318" s="82"/>
      <c r="AN318" s="82"/>
    </row>
    <row r="319" spans="1:40" ht="15.6" x14ac:dyDescent="0.25">
      <c r="A319" s="243"/>
      <c r="B319" s="230"/>
      <c r="C319" s="243"/>
      <c r="D319" s="243"/>
      <c r="E319" s="243"/>
      <c r="F319" s="243"/>
      <c r="G319" s="243"/>
      <c r="H319" s="243"/>
      <c r="I319" s="258"/>
      <c r="J319" s="243"/>
      <c r="K319" s="243"/>
      <c r="L319" s="243"/>
      <c r="M319" s="243"/>
      <c r="N319" s="243"/>
      <c r="O319" s="310"/>
      <c r="P319" s="232"/>
      <c r="Q319" s="94" t="s">
        <v>130</v>
      </c>
      <c r="R319" s="81"/>
      <c r="S319" s="81"/>
      <c r="T319" s="81"/>
      <c r="U319" s="81"/>
      <c r="V319" s="81"/>
      <c r="W319" s="81"/>
      <c r="X319" s="81"/>
      <c r="Y319" s="82"/>
      <c r="Z319" s="82"/>
      <c r="AA319" s="82"/>
      <c r="AB319" s="82"/>
      <c r="AC319" s="82"/>
      <c r="AD319" s="82"/>
      <c r="AE319" s="82"/>
      <c r="AF319" s="82"/>
      <c r="AG319" s="82"/>
      <c r="AH319" s="82"/>
      <c r="AI319" s="82"/>
      <c r="AJ319" s="82"/>
      <c r="AK319" s="82"/>
      <c r="AL319" s="82"/>
      <c r="AM319" s="82"/>
      <c r="AN319" s="82"/>
    </row>
    <row r="320" spans="1:40" ht="15.6" x14ac:dyDescent="0.25">
      <c r="A320" s="243"/>
      <c r="B320" s="230"/>
      <c r="C320" s="243"/>
      <c r="D320" s="243"/>
      <c r="E320" s="243"/>
      <c r="F320" s="243"/>
      <c r="G320" s="243"/>
      <c r="H320" s="243"/>
      <c r="I320" s="258"/>
      <c r="J320" s="243"/>
      <c r="K320" s="243"/>
      <c r="L320" s="243"/>
      <c r="M320" s="243"/>
      <c r="N320" s="243"/>
      <c r="O320" s="310"/>
      <c r="P320" s="232"/>
      <c r="Q320" s="94" t="s">
        <v>130</v>
      </c>
      <c r="R320" s="81"/>
      <c r="S320" s="81"/>
      <c r="T320" s="81"/>
      <c r="U320" s="81"/>
      <c r="V320" s="81"/>
      <c r="W320" s="81"/>
      <c r="X320" s="81"/>
      <c r="Y320" s="82"/>
      <c r="Z320" s="82"/>
      <c r="AA320" s="82"/>
      <c r="AB320" s="82"/>
      <c r="AC320" s="82"/>
      <c r="AD320" s="82"/>
      <c r="AE320" s="82"/>
      <c r="AF320" s="82"/>
      <c r="AG320" s="82"/>
      <c r="AH320" s="82"/>
      <c r="AI320" s="82"/>
      <c r="AJ320" s="82"/>
      <c r="AK320" s="82"/>
      <c r="AL320" s="82"/>
      <c r="AM320" s="82"/>
      <c r="AN320" s="82"/>
    </row>
    <row r="321" spans="1:40" ht="15.6" x14ac:dyDescent="0.25">
      <c r="A321" s="243"/>
      <c r="B321" s="230"/>
      <c r="C321" s="243"/>
      <c r="D321" s="243"/>
      <c r="E321" s="243"/>
      <c r="F321" s="243"/>
      <c r="G321" s="243"/>
      <c r="H321" s="243"/>
      <c r="I321" s="258"/>
      <c r="J321" s="243"/>
      <c r="K321" s="243"/>
      <c r="L321" s="243"/>
      <c r="M321" s="243"/>
      <c r="N321" s="243"/>
      <c r="O321" s="310"/>
      <c r="P321" s="232"/>
      <c r="Q321" s="94" t="s">
        <v>130</v>
      </c>
      <c r="R321" s="81"/>
      <c r="S321" s="81"/>
      <c r="T321" s="81"/>
      <c r="U321" s="81"/>
      <c r="V321" s="81"/>
      <c r="W321" s="81"/>
      <c r="X321" s="81"/>
      <c r="Y321" s="82"/>
      <c r="Z321" s="82"/>
      <c r="AA321" s="82"/>
      <c r="AB321" s="82"/>
      <c r="AC321" s="82"/>
      <c r="AD321" s="82"/>
      <c r="AE321" s="82"/>
      <c r="AF321" s="82"/>
      <c r="AG321" s="82"/>
      <c r="AH321" s="82"/>
      <c r="AI321" s="82"/>
      <c r="AJ321" s="82"/>
      <c r="AK321" s="82"/>
      <c r="AL321" s="82"/>
      <c r="AM321" s="82"/>
      <c r="AN321" s="82"/>
    </row>
    <row r="322" spans="1:40" ht="15.6" x14ac:dyDescent="0.25">
      <c r="A322" s="243"/>
      <c r="B322" s="230"/>
      <c r="C322" s="243"/>
      <c r="D322" s="243"/>
      <c r="E322" s="243"/>
      <c r="F322" s="243"/>
      <c r="G322" s="243"/>
      <c r="H322" s="243"/>
      <c r="I322" s="258"/>
      <c r="J322" s="243"/>
      <c r="K322" s="243"/>
      <c r="L322" s="243"/>
      <c r="M322" s="243"/>
      <c r="N322" s="243"/>
      <c r="O322" s="310"/>
      <c r="P322" s="232"/>
      <c r="Q322" s="94" t="s">
        <v>130</v>
      </c>
      <c r="R322" s="81"/>
      <c r="S322" s="81"/>
      <c r="T322" s="81"/>
      <c r="U322" s="81"/>
      <c r="V322" s="81"/>
      <c r="W322" s="81"/>
      <c r="X322" s="81"/>
      <c r="Y322" s="82"/>
      <c r="Z322" s="82"/>
      <c r="AA322" s="82"/>
      <c r="AB322" s="82"/>
      <c r="AC322" s="82"/>
      <c r="AD322" s="82"/>
      <c r="AE322" s="82"/>
      <c r="AF322" s="82"/>
      <c r="AG322" s="82"/>
      <c r="AH322" s="82"/>
      <c r="AI322" s="82"/>
      <c r="AJ322" s="82"/>
      <c r="AK322" s="82"/>
      <c r="AL322" s="82"/>
      <c r="AM322" s="82"/>
      <c r="AN322" s="82"/>
    </row>
    <row r="323" spans="1:40" ht="15.6" x14ac:dyDescent="0.25">
      <c r="A323" s="243"/>
      <c r="B323" s="230"/>
      <c r="C323" s="243"/>
      <c r="D323" s="243"/>
      <c r="E323" s="243"/>
      <c r="F323" s="243"/>
      <c r="G323" s="243"/>
      <c r="H323" s="243"/>
      <c r="I323" s="258"/>
      <c r="J323" s="243"/>
      <c r="K323" s="243"/>
      <c r="L323" s="243"/>
      <c r="M323" s="243"/>
      <c r="N323" s="243"/>
      <c r="O323" s="310"/>
      <c r="P323" s="232"/>
      <c r="Q323" s="94" t="s">
        <v>130</v>
      </c>
      <c r="R323" s="81"/>
      <c r="S323" s="81"/>
      <c r="T323" s="81"/>
      <c r="U323" s="81"/>
      <c r="V323" s="81"/>
      <c r="W323" s="81"/>
      <c r="X323" s="81"/>
      <c r="Y323" s="82"/>
      <c r="Z323" s="82"/>
      <c r="AA323" s="82"/>
      <c r="AB323" s="82"/>
      <c r="AC323" s="82"/>
      <c r="AD323" s="82"/>
      <c r="AE323" s="82"/>
      <c r="AF323" s="82"/>
      <c r="AG323" s="82"/>
      <c r="AH323" s="82"/>
      <c r="AI323" s="82"/>
      <c r="AJ323" s="82"/>
      <c r="AK323" s="82"/>
      <c r="AL323" s="82"/>
      <c r="AM323" s="82"/>
      <c r="AN323" s="82"/>
    </row>
    <row r="324" spans="1:40" ht="15.6" x14ac:dyDescent="0.25">
      <c r="A324" s="243"/>
      <c r="B324" s="230"/>
      <c r="C324" s="243"/>
      <c r="D324" s="243"/>
      <c r="E324" s="243"/>
      <c r="F324" s="243"/>
      <c r="G324" s="243"/>
      <c r="H324" s="243"/>
      <c r="I324" s="258"/>
      <c r="J324" s="243"/>
      <c r="K324" s="243"/>
      <c r="L324" s="243"/>
      <c r="M324" s="243"/>
      <c r="N324" s="243"/>
      <c r="O324" s="310"/>
      <c r="P324" s="232"/>
      <c r="Q324" s="94" t="s">
        <v>130</v>
      </c>
      <c r="R324" s="81"/>
      <c r="S324" s="81"/>
      <c r="T324" s="81"/>
      <c r="U324" s="81"/>
      <c r="V324" s="81"/>
      <c r="W324" s="81"/>
      <c r="X324" s="81"/>
      <c r="Y324" s="82"/>
      <c r="Z324" s="82"/>
      <c r="AA324" s="82"/>
      <c r="AB324" s="82"/>
      <c r="AC324" s="82"/>
      <c r="AD324" s="82"/>
      <c r="AE324" s="82"/>
      <c r="AF324" s="82"/>
      <c r="AG324" s="82"/>
      <c r="AH324" s="82"/>
      <c r="AI324" s="82"/>
      <c r="AJ324" s="82"/>
      <c r="AK324" s="82"/>
      <c r="AL324" s="82"/>
      <c r="AM324" s="82"/>
      <c r="AN324" s="82"/>
    </row>
    <row r="325" spans="1:40" ht="15.6" x14ac:dyDescent="0.25">
      <c r="A325" s="243"/>
      <c r="B325" s="230"/>
      <c r="C325" s="243"/>
      <c r="D325" s="243"/>
      <c r="E325" s="243"/>
      <c r="F325" s="243"/>
      <c r="G325" s="243"/>
      <c r="H325" s="243"/>
      <c r="I325" s="258"/>
      <c r="J325" s="243"/>
      <c r="K325" s="243"/>
      <c r="L325" s="243"/>
      <c r="M325" s="243"/>
      <c r="N325" s="243"/>
      <c r="O325" s="310"/>
      <c r="P325" s="232"/>
      <c r="Q325" s="94" t="s">
        <v>130</v>
      </c>
      <c r="R325" s="81"/>
      <c r="S325" s="81"/>
      <c r="T325" s="81"/>
      <c r="U325" s="81"/>
      <c r="V325" s="81"/>
      <c r="W325" s="81"/>
      <c r="X325" s="81"/>
      <c r="Y325" s="82"/>
      <c r="Z325" s="82"/>
      <c r="AA325" s="82"/>
      <c r="AB325" s="82"/>
      <c r="AC325" s="82"/>
      <c r="AD325" s="82"/>
      <c r="AE325" s="82"/>
      <c r="AF325" s="82"/>
      <c r="AG325" s="82"/>
      <c r="AH325" s="82"/>
      <c r="AI325" s="82"/>
      <c r="AJ325" s="82"/>
      <c r="AK325" s="82"/>
      <c r="AL325" s="82"/>
      <c r="AM325" s="82"/>
      <c r="AN325" s="82"/>
    </row>
    <row r="326" spans="1:40" ht="15.6" x14ac:dyDescent="0.25">
      <c r="A326" s="243"/>
      <c r="B326" s="230"/>
      <c r="C326" s="243"/>
      <c r="D326" s="243"/>
      <c r="E326" s="243"/>
      <c r="F326" s="243"/>
      <c r="G326" s="243"/>
      <c r="H326" s="243"/>
      <c r="I326" s="258"/>
      <c r="J326" s="243"/>
      <c r="K326" s="243"/>
      <c r="L326" s="243"/>
      <c r="M326" s="243"/>
      <c r="N326" s="243"/>
      <c r="O326" s="310"/>
      <c r="P326" s="232"/>
      <c r="Q326" s="94" t="s">
        <v>130</v>
      </c>
      <c r="R326" s="81"/>
      <c r="S326" s="81"/>
      <c r="T326" s="81"/>
      <c r="U326" s="81"/>
      <c r="V326" s="81"/>
      <c r="W326" s="81"/>
      <c r="X326" s="81"/>
      <c r="Y326" s="82"/>
      <c r="Z326" s="82"/>
      <c r="AA326" s="82"/>
      <c r="AB326" s="82"/>
      <c r="AC326" s="82"/>
      <c r="AD326" s="82"/>
      <c r="AE326" s="82"/>
      <c r="AF326" s="82"/>
      <c r="AG326" s="82"/>
      <c r="AH326" s="82"/>
      <c r="AI326" s="82"/>
      <c r="AJ326" s="82"/>
      <c r="AK326" s="82"/>
      <c r="AL326" s="82"/>
      <c r="AM326" s="82"/>
      <c r="AN326" s="82"/>
    </row>
    <row r="327" spans="1:40" ht="15.6" x14ac:dyDescent="0.25">
      <c r="A327" s="243"/>
      <c r="B327" s="230"/>
      <c r="C327" s="243"/>
      <c r="D327" s="243"/>
      <c r="E327" s="243"/>
      <c r="F327" s="243"/>
      <c r="G327" s="243"/>
      <c r="H327" s="243"/>
      <c r="I327" s="258"/>
      <c r="J327" s="243"/>
      <c r="K327" s="243"/>
      <c r="L327" s="243"/>
      <c r="M327" s="243"/>
      <c r="N327" s="243"/>
      <c r="O327" s="310"/>
      <c r="P327" s="232"/>
      <c r="Q327" s="94" t="s">
        <v>130</v>
      </c>
      <c r="R327" s="81"/>
      <c r="S327" s="81"/>
      <c r="T327" s="81"/>
      <c r="U327" s="81"/>
      <c r="V327" s="81"/>
      <c r="W327" s="81"/>
      <c r="X327" s="81"/>
      <c r="Y327" s="82"/>
      <c r="Z327" s="82"/>
      <c r="AA327" s="82"/>
      <c r="AB327" s="82"/>
      <c r="AC327" s="82"/>
      <c r="AD327" s="82"/>
      <c r="AE327" s="82"/>
      <c r="AF327" s="82"/>
      <c r="AG327" s="82"/>
      <c r="AH327" s="82"/>
      <c r="AI327" s="82"/>
      <c r="AJ327" s="82"/>
      <c r="AK327" s="82"/>
      <c r="AL327" s="82"/>
      <c r="AM327" s="82"/>
      <c r="AN327" s="82"/>
    </row>
    <row r="328" spans="1:40" ht="15.6" x14ac:dyDescent="0.25">
      <c r="A328" s="243"/>
      <c r="B328" s="230"/>
      <c r="C328" s="243"/>
      <c r="D328" s="243"/>
      <c r="E328" s="243"/>
      <c r="F328" s="243"/>
      <c r="G328" s="243"/>
      <c r="H328" s="243"/>
      <c r="I328" s="258"/>
      <c r="J328" s="243"/>
      <c r="K328" s="243"/>
      <c r="L328" s="243"/>
      <c r="M328" s="243"/>
      <c r="N328" s="243"/>
      <c r="O328" s="310"/>
      <c r="P328" s="232"/>
      <c r="Q328" s="94" t="s">
        <v>130</v>
      </c>
      <c r="R328" s="81"/>
      <c r="S328" s="81"/>
      <c r="T328" s="81"/>
      <c r="U328" s="81"/>
      <c r="V328" s="81"/>
      <c r="W328" s="81"/>
      <c r="X328" s="81"/>
      <c r="Y328" s="82"/>
      <c r="Z328" s="82"/>
      <c r="AA328" s="82"/>
      <c r="AB328" s="82"/>
      <c r="AC328" s="82"/>
      <c r="AD328" s="82"/>
      <c r="AE328" s="82"/>
      <c r="AF328" s="82"/>
      <c r="AG328" s="82"/>
      <c r="AH328" s="82"/>
      <c r="AI328" s="82"/>
      <c r="AJ328" s="82"/>
      <c r="AK328" s="82"/>
      <c r="AL328" s="82"/>
      <c r="AM328" s="82"/>
      <c r="AN328" s="82"/>
    </row>
    <row r="329" spans="1:40" ht="15.6" x14ac:dyDescent="0.25">
      <c r="A329" s="243"/>
      <c r="B329" s="230"/>
      <c r="C329" s="243"/>
      <c r="D329" s="243"/>
      <c r="E329" s="243"/>
      <c r="F329" s="243"/>
      <c r="G329" s="243"/>
      <c r="H329" s="243"/>
      <c r="I329" s="258"/>
      <c r="J329" s="243"/>
      <c r="K329" s="243"/>
      <c r="L329" s="243"/>
      <c r="M329" s="243"/>
      <c r="N329" s="243"/>
      <c r="O329" s="310"/>
      <c r="P329" s="232"/>
      <c r="Q329" s="94" t="s">
        <v>130</v>
      </c>
      <c r="R329" s="81"/>
      <c r="S329" s="81"/>
      <c r="T329" s="81"/>
      <c r="U329" s="81"/>
      <c r="V329" s="81"/>
      <c r="W329" s="81"/>
      <c r="X329" s="81"/>
      <c r="Y329" s="82"/>
      <c r="Z329" s="82"/>
      <c r="AA329" s="82"/>
      <c r="AB329" s="82"/>
      <c r="AC329" s="82"/>
      <c r="AD329" s="82"/>
      <c r="AE329" s="82"/>
      <c r="AF329" s="82"/>
      <c r="AG329" s="82"/>
      <c r="AH329" s="82"/>
      <c r="AI329" s="82"/>
      <c r="AJ329" s="82"/>
      <c r="AK329" s="82"/>
      <c r="AL329" s="82"/>
      <c r="AM329" s="82"/>
      <c r="AN329" s="82"/>
    </row>
    <row r="330" spans="1:40" ht="15.6" x14ac:dyDescent="0.25">
      <c r="A330" s="243"/>
      <c r="B330" s="230"/>
      <c r="C330" s="243"/>
      <c r="D330" s="243"/>
      <c r="E330" s="243"/>
      <c r="F330" s="243"/>
      <c r="G330" s="243"/>
      <c r="H330" s="243"/>
      <c r="I330" s="258"/>
      <c r="J330" s="243"/>
      <c r="K330" s="243"/>
      <c r="L330" s="243"/>
      <c r="M330" s="243"/>
      <c r="N330" s="243"/>
      <c r="O330" s="310"/>
      <c r="P330" s="232"/>
      <c r="Q330" s="94" t="s">
        <v>130</v>
      </c>
      <c r="R330" s="81"/>
      <c r="S330" s="81"/>
      <c r="T330" s="81"/>
      <c r="U330" s="81"/>
      <c r="V330" s="81"/>
      <c r="W330" s="81"/>
      <c r="X330" s="81"/>
      <c r="Y330" s="82"/>
      <c r="Z330" s="82"/>
      <c r="AA330" s="82"/>
      <c r="AB330" s="82"/>
      <c r="AC330" s="82"/>
      <c r="AD330" s="82"/>
      <c r="AE330" s="82"/>
      <c r="AF330" s="82"/>
      <c r="AG330" s="82"/>
      <c r="AH330" s="82"/>
      <c r="AI330" s="82"/>
      <c r="AJ330" s="82"/>
      <c r="AK330" s="82"/>
      <c r="AL330" s="82"/>
      <c r="AM330" s="82"/>
      <c r="AN330" s="82"/>
    </row>
    <row r="331" spans="1:40" ht="15" x14ac:dyDescent="0.25">
      <c r="A331" s="243"/>
      <c r="B331" s="230"/>
      <c r="C331" s="243"/>
      <c r="D331" s="243"/>
      <c r="E331" s="243"/>
      <c r="F331" s="243"/>
      <c r="G331" s="243"/>
      <c r="H331" s="243"/>
      <c r="I331" s="258"/>
      <c r="J331" s="243"/>
      <c r="K331" s="243"/>
      <c r="L331" s="243"/>
      <c r="M331" s="243"/>
      <c r="N331" s="243"/>
      <c r="O331" s="243"/>
      <c r="P331" s="232"/>
      <c r="Q331" s="94" t="s">
        <v>130</v>
      </c>
      <c r="R331" s="81"/>
      <c r="S331" s="81"/>
      <c r="T331" s="81"/>
      <c r="U331" s="81"/>
      <c r="V331" s="81"/>
      <c r="W331" s="81"/>
      <c r="X331" s="81"/>
      <c r="Y331" s="82"/>
      <c r="Z331" s="82"/>
      <c r="AA331" s="82"/>
      <c r="AB331" s="82"/>
      <c r="AC331" s="82"/>
      <c r="AD331" s="82"/>
      <c r="AE331" s="82"/>
      <c r="AF331" s="82"/>
      <c r="AG331" s="82"/>
      <c r="AH331" s="82"/>
      <c r="AI331" s="82"/>
      <c r="AJ331" s="82"/>
      <c r="AK331" s="82"/>
      <c r="AL331" s="82"/>
      <c r="AM331" s="82"/>
      <c r="AN331" s="82"/>
    </row>
    <row r="332" spans="1:40" ht="15" x14ac:dyDescent="0.25">
      <c r="A332" s="243"/>
      <c r="B332" s="230"/>
      <c r="C332" s="243"/>
      <c r="D332" s="243"/>
      <c r="E332" s="243"/>
      <c r="F332" s="243"/>
      <c r="G332" s="243"/>
      <c r="H332" s="243"/>
      <c r="I332" s="258"/>
      <c r="J332" s="243"/>
      <c r="K332" s="243"/>
      <c r="L332" s="243"/>
      <c r="M332" s="243"/>
      <c r="N332" s="243"/>
      <c r="O332" s="243"/>
      <c r="P332" s="232"/>
      <c r="Q332" s="94" t="s">
        <v>130</v>
      </c>
      <c r="R332" s="81"/>
      <c r="S332" s="81"/>
      <c r="T332" s="81"/>
      <c r="U332" s="81"/>
      <c r="V332" s="81"/>
      <c r="W332" s="81"/>
      <c r="X332" s="81"/>
      <c r="Y332" s="82"/>
      <c r="Z332" s="82"/>
      <c r="AA332" s="82"/>
      <c r="AB332" s="82"/>
      <c r="AC332" s="82"/>
      <c r="AD332" s="82"/>
      <c r="AE332" s="82"/>
      <c r="AF332" s="82"/>
      <c r="AG332" s="82"/>
      <c r="AH332" s="82"/>
      <c r="AI332" s="82"/>
      <c r="AJ332" s="82"/>
      <c r="AK332" s="82"/>
      <c r="AL332" s="82"/>
      <c r="AM332" s="82"/>
      <c r="AN332" s="82"/>
    </row>
    <row r="333" spans="1:40" ht="15" x14ac:dyDescent="0.25">
      <c r="A333" s="243"/>
      <c r="B333" s="230"/>
      <c r="C333" s="243"/>
      <c r="D333" s="243"/>
      <c r="E333" s="243"/>
      <c r="F333" s="243"/>
      <c r="G333" s="243"/>
      <c r="H333" s="243"/>
      <c r="I333" s="258"/>
      <c r="J333" s="243"/>
      <c r="K333" s="243"/>
      <c r="L333" s="243"/>
      <c r="M333" s="243"/>
      <c r="N333" s="243"/>
      <c r="O333" s="243"/>
      <c r="P333" s="232"/>
      <c r="Q333" s="94" t="s">
        <v>130</v>
      </c>
      <c r="R333" s="81"/>
      <c r="S333" s="81"/>
      <c r="T333" s="81"/>
      <c r="U333" s="81"/>
      <c r="V333" s="81"/>
      <c r="W333" s="81"/>
      <c r="X333" s="81"/>
      <c r="Y333" s="82"/>
      <c r="Z333" s="82"/>
      <c r="AA333" s="82"/>
      <c r="AB333" s="82"/>
      <c r="AC333" s="82"/>
      <c r="AD333" s="82"/>
      <c r="AE333" s="82"/>
      <c r="AF333" s="82"/>
      <c r="AG333" s="82"/>
      <c r="AH333" s="82"/>
      <c r="AI333" s="82"/>
      <c r="AJ333" s="82"/>
      <c r="AK333" s="82"/>
      <c r="AL333" s="82"/>
      <c r="AM333" s="82"/>
      <c r="AN333" s="82"/>
    </row>
    <row r="334" spans="1:40" ht="15.75" customHeight="1" x14ac:dyDescent="0.25">
      <c r="A334" s="243"/>
      <c r="B334" s="230"/>
      <c r="C334" s="243"/>
      <c r="D334" s="243"/>
      <c r="E334" s="243"/>
      <c r="F334" s="243"/>
      <c r="G334" s="243"/>
      <c r="H334" s="243"/>
      <c r="I334" s="258"/>
      <c r="J334" s="243"/>
      <c r="K334" s="243"/>
      <c r="L334" s="243"/>
      <c r="M334" s="243"/>
      <c r="N334" s="243"/>
      <c r="O334" s="243"/>
      <c r="P334" s="232"/>
      <c r="Q334" s="94" t="s">
        <v>130</v>
      </c>
      <c r="R334" s="81"/>
      <c r="S334" s="81"/>
      <c r="T334" s="81"/>
      <c r="U334" s="81"/>
      <c r="V334" s="81"/>
      <c r="W334" s="81"/>
      <c r="X334" s="81"/>
      <c r="Y334" s="82"/>
      <c r="Z334" s="82"/>
      <c r="AA334" s="82"/>
      <c r="AB334" s="82"/>
      <c r="AC334" s="82"/>
      <c r="AD334" s="82"/>
      <c r="AE334" s="82"/>
      <c r="AF334" s="82"/>
      <c r="AG334" s="82"/>
      <c r="AH334" s="82"/>
      <c r="AI334" s="82"/>
      <c r="AJ334" s="82"/>
      <c r="AK334" s="82"/>
      <c r="AL334" s="82"/>
      <c r="AM334" s="82"/>
      <c r="AN334" s="82"/>
    </row>
    <row r="335" spans="1:40" ht="22.5" customHeight="1" x14ac:dyDescent="0.25">
      <c r="A335" s="243"/>
      <c r="B335" s="230"/>
      <c r="C335" s="243"/>
      <c r="D335" s="243"/>
      <c r="E335" s="243"/>
      <c r="F335" s="243"/>
      <c r="G335" s="243"/>
      <c r="H335" s="243"/>
      <c r="I335" s="258"/>
      <c r="J335" s="243"/>
      <c r="K335" s="243"/>
      <c r="L335" s="243"/>
      <c r="M335" s="243"/>
      <c r="N335" s="243"/>
      <c r="O335" s="243"/>
      <c r="P335" s="232"/>
      <c r="Q335" s="94" t="s">
        <v>130</v>
      </c>
      <c r="R335" s="81"/>
      <c r="S335" s="81"/>
      <c r="T335" s="81"/>
      <c r="U335" s="81"/>
      <c r="V335" s="81"/>
      <c r="W335" s="81"/>
      <c r="X335" s="81"/>
      <c r="Y335" s="82"/>
      <c r="Z335" s="82"/>
      <c r="AA335" s="82"/>
      <c r="AB335" s="82"/>
      <c r="AC335" s="82"/>
      <c r="AD335" s="82"/>
      <c r="AE335" s="82"/>
      <c r="AF335" s="82"/>
      <c r="AG335" s="82"/>
      <c r="AH335" s="82"/>
      <c r="AI335" s="82"/>
      <c r="AJ335" s="82"/>
      <c r="AK335" s="82"/>
      <c r="AL335" s="82"/>
      <c r="AM335" s="82"/>
      <c r="AN335" s="82"/>
    </row>
    <row r="336" spans="1:40" ht="15" x14ac:dyDescent="0.25">
      <c r="A336" s="243"/>
      <c r="B336" s="230"/>
      <c r="C336" s="243"/>
      <c r="D336" s="243"/>
      <c r="E336" s="243"/>
      <c r="F336" s="243"/>
      <c r="G336" s="243"/>
      <c r="H336" s="243"/>
      <c r="I336" s="258"/>
      <c r="J336" s="243"/>
      <c r="K336" s="243"/>
      <c r="L336" s="243"/>
      <c r="M336" s="243"/>
      <c r="N336" s="243"/>
      <c r="O336" s="243"/>
      <c r="P336" s="232"/>
      <c r="Q336" s="94" t="s">
        <v>130</v>
      </c>
      <c r="R336" s="81"/>
      <c r="S336" s="81"/>
      <c r="T336" s="81"/>
      <c r="U336" s="81"/>
      <c r="V336" s="81"/>
      <c r="W336" s="81"/>
      <c r="X336" s="81"/>
      <c r="Y336" s="82"/>
      <c r="Z336" s="82"/>
      <c r="AA336" s="82"/>
      <c r="AB336" s="82"/>
      <c r="AC336" s="82"/>
      <c r="AD336" s="82"/>
      <c r="AE336" s="82"/>
      <c r="AF336" s="82"/>
      <c r="AG336" s="82"/>
      <c r="AH336" s="82"/>
      <c r="AI336" s="82"/>
      <c r="AJ336" s="82"/>
      <c r="AK336" s="82"/>
      <c r="AL336" s="82"/>
      <c r="AM336" s="82"/>
      <c r="AN336" s="82"/>
    </row>
    <row r="337" spans="1:40" ht="15" x14ac:dyDescent="0.25">
      <c r="A337" s="243"/>
      <c r="B337" s="230"/>
      <c r="C337" s="243"/>
      <c r="D337" s="243"/>
      <c r="E337" s="243"/>
      <c r="F337" s="243"/>
      <c r="G337" s="243"/>
      <c r="H337" s="243"/>
      <c r="I337" s="258"/>
      <c r="J337" s="243"/>
      <c r="K337" s="243"/>
      <c r="L337" s="243"/>
      <c r="M337" s="243"/>
      <c r="N337" s="243"/>
      <c r="O337" s="243"/>
      <c r="P337" s="232"/>
      <c r="Q337" s="94" t="s">
        <v>130</v>
      </c>
      <c r="R337" s="81"/>
      <c r="S337" s="81"/>
      <c r="T337" s="81"/>
      <c r="U337" s="81"/>
      <c r="V337" s="81"/>
      <c r="W337" s="81"/>
      <c r="X337" s="81"/>
      <c r="Y337" s="82"/>
      <c r="Z337" s="82"/>
      <c r="AA337" s="82"/>
      <c r="AB337" s="82"/>
      <c r="AC337" s="82"/>
      <c r="AD337" s="82"/>
      <c r="AE337" s="82"/>
      <c r="AF337" s="82"/>
      <c r="AG337" s="82"/>
      <c r="AH337" s="82"/>
      <c r="AI337" s="82"/>
      <c r="AJ337" s="82"/>
      <c r="AK337" s="82"/>
      <c r="AL337" s="82"/>
      <c r="AM337" s="82"/>
      <c r="AN337" s="82"/>
    </row>
    <row r="338" spans="1:40" ht="15" x14ac:dyDescent="0.25">
      <c r="A338" s="243"/>
      <c r="B338" s="230"/>
      <c r="C338" s="243"/>
      <c r="D338" s="243"/>
      <c r="E338" s="243"/>
      <c r="F338" s="243"/>
      <c r="G338" s="243"/>
      <c r="H338" s="243"/>
      <c r="I338" s="258"/>
      <c r="J338" s="243"/>
      <c r="K338" s="243"/>
      <c r="L338" s="243"/>
      <c r="M338" s="243"/>
      <c r="N338" s="243"/>
      <c r="O338" s="243"/>
      <c r="P338" s="232"/>
      <c r="Q338" s="94" t="s">
        <v>130</v>
      </c>
      <c r="R338" s="81"/>
      <c r="S338" s="81"/>
      <c r="T338" s="81"/>
      <c r="U338" s="81"/>
      <c r="V338" s="81"/>
      <c r="W338" s="81"/>
      <c r="X338" s="81"/>
      <c r="Y338" s="82"/>
      <c r="Z338" s="82"/>
      <c r="AA338" s="82"/>
      <c r="AB338" s="82"/>
      <c r="AC338" s="82"/>
      <c r="AD338" s="82"/>
      <c r="AE338" s="82"/>
      <c r="AF338" s="82"/>
      <c r="AG338" s="82"/>
      <c r="AH338" s="82"/>
      <c r="AI338" s="82"/>
      <c r="AJ338" s="82"/>
      <c r="AK338" s="82"/>
      <c r="AL338" s="82"/>
      <c r="AM338" s="82"/>
      <c r="AN338" s="82"/>
    </row>
    <row r="339" spans="1:40" ht="13.5" customHeight="1" x14ac:dyDescent="0.25">
      <c r="A339" s="243"/>
      <c r="B339" s="230"/>
      <c r="C339" s="243"/>
      <c r="D339" s="243"/>
      <c r="E339" s="243"/>
      <c r="F339" s="243"/>
      <c r="G339" s="243"/>
      <c r="H339" s="243"/>
      <c r="I339" s="258"/>
      <c r="J339" s="243"/>
      <c r="K339" s="243"/>
      <c r="L339" s="243"/>
      <c r="M339" s="243"/>
      <c r="N339" s="243"/>
      <c r="O339" s="243"/>
      <c r="P339" s="232"/>
      <c r="Q339" s="94" t="s">
        <v>130</v>
      </c>
      <c r="R339" s="81"/>
      <c r="S339" s="81"/>
      <c r="T339" s="81"/>
      <c r="U339" s="81"/>
      <c r="V339" s="81"/>
      <c r="W339" s="81"/>
      <c r="X339" s="81"/>
      <c r="Y339" s="82"/>
      <c r="Z339" s="82"/>
      <c r="AA339" s="82"/>
      <c r="AB339" s="82"/>
      <c r="AC339" s="82"/>
      <c r="AD339" s="82"/>
      <c r="AE339" s="82"/>
      <c r="AF339" s="82"/>
      <c r="AG339" s="82"/>
      <c r="AH339" s="82"/>
      <c r="AI339" s="82"/>
      <c r="AJ339" s="82"/>
      <c r="AK339" s="82"/>
      <c r="AL339" s="82"/>
      <c r="AM339" s="82"/>
      <c r="AN339" s="82"/>
    </row>
    <row r="340" spans="1:40" ht="15" x14ac:dyDescent="0.25">
      <c r="A340" s="243"/>
      <c r="B340" s="230"/>
      <c r="C340" s="243"/>
      <c r="D340" s="243"/>
      <c r="E340" s="243"/>
      <c r="F340" s="243"/>
      <c r="G340" s="243"/>
      <c r="H340" s="243"/>
      <c r="I340" s="258"/>
      <c r="J340" s="243"/>
      <c r="K340" s="243"/>
      <c r="L340" s="243"/>
      <c r="M340" s="243"/>
      <c r="N340" s="243"/>
      <c r="O340" s="243"/>
      <c r="P340" s="232"/>
      <c r="Q340" s="94" t="s">
        <v>130</v>
      </c>
      <c r="R340" s="81"/>
      <c r="S340" s="81"/>
      <c r="T340" s="81"/>
      <c r="U340" s="81"/>
      <c r="V340" s="81"/>
      <c r="W340" s="81"/>
      <c r="X340" s="81"/>
      <c r="Y340" s="82"/>
      <c r="Z340" s="82"/>
      <c r="AA340" s="82"/>
      <c r="AB340" s="82"/>
      <c r="AC340" s="82"/>
      <c r="AD340" s="82"/>
      <c r="AE340" s="82"/>
      <c r="AF340" s="82"/>
      <c r="AG340" s="82"/>
      <c r="AH340" s="82"/>
      <c r="AI340" s="82"/>
      <c r="AJ340" s="82"/>
      <c r="AK340" s="82"/>
      <c r="AL340" s="82"/>
      <c r="AM340" s="82"/>
      <c r="AN340" s="82"/>
    </row>
    <row r="341" spans="1:40" ht="15" x14ac:dyDescent="0.25">
      <c r="A341" s="243"/>
      <c r="B341" s="230"/>
      <c r="C341" s="243"/>
      <c r="D341" s="243"/>
      <c r="E341" s="243"/>
      <c r="F341" s="243"/>
      <c r="G341" s="243"/>
      <c r="H341" s="243"/>
      <c r="I341" s="258"/>
      <c r="J341" s="243"/>
      <c r="K341" s="243"/>
      <c r="L341" s="243"/>
      <c r="M341" s="243"/>
      <c r="N341" s="243"/>
      <c r="O341" s="243"/>
      <c r="P341" s="232"/>
      <c r="Q341" s="94" t="s">
        <v>130</v>
      </c>
      <c r="R341" s="81"/>
      <c r="S341" s="81"/>
      <c r="T341" s="81"/>
      <c r="U341" s="81"/>
      <c r="V341" s="81"/>
      <c r="W341" s="81"/>
      <c r="X341" s="81"/>
      <c r="Y341" s="82"/>
      <c r="Z341" s="82"/>
      <c r="AA341" s="82"/>
      <c r="AB341" s="82"/>
      <c r="AC341" s="82"/>
      <c r="AD341" s="82"/>
      <c r="AE341" s="82"/>
      <c r="AF341" s="82"/>
      <c r="AG341" s="82"/>
      <c r="AH341" s="82"/>
      <c r="AI341" s="82"/>
      <c r="AJ341" s="82"/>
      <c r="AK341" s="82"/>
      <c r="AL341" s="82"/>
      <c r="AM341" s="82"/>
      <c r="AN341" s="82"/>
    </row>
    <row r="342" spans="1:40" ht="15" x14ac:dyDescent="0.25">
      <c r="A342" s="243"/>
      <c r="B342" s="230"/>
      <c r="C342" s="243"/>
      <c r="D342" s="243"/>
      <c r="E342" s="243"/>
      <c r="F342" s="243"/>
      <c r="G342" s="243"/>
      <c r="H342" s="243"/>
      <c r="I342" s="258"/>
      <c r="J342" s="243"/>
      <c r="K342" s="243"/>
      <c r="L342" s="243"/>
      <c r="M342" s="243"/>
      <c r="N342" s="243"/>
      <c r="O342" s="243"/>
      <c r="P342" s="232"/>
      <c r="Q342" s="94" t="s">
        <v>130</v>
      </c>
      <c r="R342" s="81"/>
      <c r="S342" s="81"/>
      <c r="T342" s="81"/>
      <c r="U342" s="81"/>
      <c r="V342" s="81"/>
      <c r="W342" s="81"/>
      <c r="X342" s="81"/>
      <c r="Y342" s="82"/>
      <c r="Z342" s="82"/>
      <c r="AA342" s="82"/>
      <c r="AB342" s="82"/>
      <c r="AC342" s="82"/>
      <c r="AD342" s="82"/>
      <c r="AE342" s="82"/>
      <c r="AF342" s="82"/>
      <c r="AG342" s="82"/>
      <c r="AH342" s="82"/>
      <c r="AI342" s="82"/>
      <c r="AJ342" s="82"/>
      <c r="AK342" s="82"/>
      <c r="AL342" s="82"/>
      <c r="AM342" s="82"/>
      <c r="AN342" s="82"/>
    </row>
    <row r="343" spans="1:40" ht="15" x14ac:dyDescent="0.25">
      <c r="A343" s="243"/>
      <c r="B343" s="230"/>
      <c r="C343" s="243"/>
      <c r="D343" s="243"/>
      <c r="E343" s="243"/>
      <c r="F343" s="243"/>
      <c r="G343" s="243"/>
      <c r="H343" s="243"/>
      <c r="I343" s="258"/>
      <c r="J343" s="243"/>
      <c r="K343" s="243"/>
      <c r="L343" s="243"/>
      <c r="M343" s="243"/>
      <c r="N343" s="243"/>
      <c r="O343" s="243"/>
      <c r="P343" s="232"/>
      <c r="Q343" s="94" t="s">
        <v>130</v>
      </c>
      <c r="R343" s="81"/>
      <c r="S343" s="81"/>
      <c r="T343" s="81"/>
      <c r="U343" s="81"/>
      <c r="V343" s="81"/>
      <c r="W343" s="81"/>
      <c r="X343" s="81"/>
      <c r="Y343" s="82"/>
      <c r="Z343" s="82"/>
      <c r="AA343" s="82"/>
      <c r="AB343" s="82"/>
      <c r="AC343" s="82"/>
      <c r="AD343" s="82"/>
      <c r="AE343" s="82"/>
      <c r="AF343" s="82"/>
      <c r="AG343" s="82"/>
      <c r="AH343" s="82"/>
      <c r="AI343" s="82"/>
      <c r="AJ343" s="82"/>
      <c r="AK343" s="82"/>
      <c r="AL343" s="82"/>
      <c r="AM343" s="82"/>
      <c r="AN343" s="82"/>
    </row>
    <row r="344" spans="1:40" ht="15" x14ac:dyDescent="0.25">
      <c r="A344" s="243"/>
      <c r="B344" s="230"/>
      <c r="C344" s="243"/>
      <c r="D344" s="243"/>
      <c r="E344" s="243"/>
      <c r="F344" s="243"/>
      <c r="G344" s="243"/>
      <c r="H344" s="243"/>
      <c r="I344" s="258"/>
      <c r="J344" s="243"/>
      <c r="K344" s="243"/>
      <c r="L344" s="243"/>
      <c r="M344" s="243"/>
      <c r="N344" s="243"/>
      <c r="O344" s="243"/>
      <c r="P344" s="232"/>
      <c r="Q344" s="94" t="s">
        <v>130</v>
      </c>
      <c r="R344" s="81"/>
      <c r="S344" s="81"/>
      <c r="T344" s="81"/>
      <c r="U344" s="81"/>
      <c r="V344" s="81"/>
      <c r="W344" s="81"/>
      <c r="X344" s="81"/>
      <c r="Y344" s="82"/>
      <c r="Z344" s="82"/>
      <c r="AA344" s="82"/>
      <c r="AB344" s="82"/>
      <c r="AC344" s="82"/>
      <c r="AD344" s="82"/>
      <c r="AE344" s="82"/>
      <c r="AF344" s="82"/>
      <c r="AG344" s="82"/>
      <c r="AH344" s="82"/>
      <c r="AI344" s="82"/>
      <c r="AJ344" s="82"/>
      <c r="AK344" s="82"/>
      <c r="AL344" s="82"/>
      <c r="AM344" s="82"/>
      <c r="AN344" s="82"/>
    </row>
    <row r="345" spans="1:40" ht="15" x14ac:dyDescent="0.25">
      <c r="A345" s="243"/>
      <c r="B345" s="230"/>
      <c r="C345" s="243"/>
      <c r="D345" s="243"/>
      <c r="E345" s="243"/>
      <c r="F345" s="243"/>
      <c r="G345" s="243"/>
      <c r="H345" s="243"/>
      <c r="I345" s="258"/>
      <c r="J345" s="243"/>
      <c r="K345" s="243"/>
      <c r="L345" s="243"/>
      <c r="M345" s="243"/>
      <c r="N345" s="243"/>
      <c r="O345" s="243"/>
      <c r="P345" s="232"/>
      <c r="Q345" s="94" t="s">
        <v>130</v>
      </c>
      <c r="R345" s="81"/>
      <c r="S345" s="81"/>
      <c r="T345" s="81"/>
      <c r="U345" s="81"/>
      <c r="V345" s="81"/>
      <c r="W345" s="81"/>
      <c r="X345" s="81"/>
      <c r="Y345" s="82"/>
      <c r="Z345" s="82"/>
      <c r="AA345" s="82"/>
      <c r="AB345" s="82"/>
      <c r="AC345" s="82"/>
      <c r="AD345" s="82"/>
      <c r="AE345" s="82"/>
      <c r="AF345" s="82"/>
      <c r="AG345" s="82"/>
      <c r="AH345" s="82"/>
      <c r="AI345" s="82"/>
      <c r="AJ345" s="82"/>
      <c r="AK345" s="82"/>
      <c r="AL345" s="82"/>
      <c r="AM345" s="82"/>
      <c r="AN345" s="82"/>
    </row>
    <row r="346" spans="1:40" ht="15" x14ac:dyDescent="0.25">
      <c r="A346" s="243"/>
      <c r="B346" s="230"/>
      <c r="C346" s="243"/>
      <c r="D346" s="243"/>
      <c r="E346" s="243"/>
      <c r="F346" s="243"/>
      <c r="G346" s="243"/>
      <c r="H346" s="243"/>
      <c r="I346" s="258"/>
      <c r="J346" s="243"/>
      <c r="K346" s="243"/>
      <c r="L346" s="243"/>
      <c r="M346" s="243"/>
      <c r="N346" s="243"/>
      <c r="O346" s="243"/>
      <c r="P346" s="232"/>
      <c r="Q346" s="94" t="s">
        <v>130</v>
      </c>
      <c r="R346" s="81"/>
      <c r="S346" s="81"/>
      <c r="T346" s="81"/>
      <c r="U346" s="81"/>
      <c r="V346" s="81"/>
      <c r="W346" s="81"/>
      <c r="X346" s="81"/>
      <c r="Y346" s="82"/>
      <c r="Z346" s="82"/>
      <c r="AA346" s="82"/>
      <c r="AB346" s="82"/>
      <c r="AC346" s="82"/>
      <c r="AD346" s="82"/>
      <c r="AE346" s="82"/>
      <c r="AF346" s="82"/>
      <c r="AG346" s="82"/>
      <c r="AH346" s="82"/>
      <c r="AI346" s="82"/>
      <c r="AJ346" s="82"/>
      <c r="AK346" s="82"/>
      <c r="AL346" s="82"/>
      <c r="AM346" s="82"/>
      <c r="AN346" s="82"/>
    </row>
    <row r="347" spans="1:40" ht="15" x14ac:dyDescent="0.25">
      <c r="A347" s="243"/>
      <c r="B347" s="230"/>
      <c r="C347" s="243"/>
      <c r="D347" s="243"/>
      <c r="E347" s="243"/>
      <c r="F347" s="243"/>
      <c r="G347" s="243"/>
      <c r="H347" s="243"/>
      <c r="I347" s="258"/>
      <c r="J347" s="243"/>
      <c r="K347" s="243"/>
      <c r="L347" s="243"/>
      <c r="M347" s="243"/>
      <c r="N347" s="243"/>
      <c r="O347" s="243"/>
      <c r="P347" s="232"/>
      <c r="Q347" s="94" t="s">
        <v>130</v>
      </c>
      <c r="R347" s="81"/>
      <c r="S347" s="81"/>
      <c r="T347" s="81"/>
      <c r="U347" s="81"/>
      <c r="V347" s="81"/>
      <c r="W347" s="81"/>
      <c r="X347" s="81"/>
      <c r="Y347" s="82"/>
      <c r="Z347" s="82"/>
      <c r="AA347" s="82"/>
      <c r="AB347" s="82"/>
      <c r="AC347" s="82"/>
      <c r="AD347" s="82"/>
      <c r="AE347" s="82"/>
      <c r="AF347" s="82"/>
      <c r="AG347" s="82"/>
      <c r="AH347" s="82"/>
      <c r="AI347" s="82"/>
      <c r="AJ347" s="82"/>
      <c r="AK347" s="82"/>
      <c r="AL347" s="82"/>
      <c r="AM347" s="82"/>
      <c r="AN347" s="82"/>
    </row>
    <row r="348" spans="1:40" ht="14.1" customHeight="1" x14ac:dyDescent="0.25">
      <c r="A348" s="243"/>
      <c r="B348" s="230" t="s">
        <v>32</v>
      </c>
      <c r="C348" s="243"/>
      <c r="D348" s="243"/>
      <c r="E348" s="243"/>
      <c r="F348" s="243"/>
      <c r="G348" s="243"/>
      <c r="H348" s="243"/>
      <c r="I348" s="258"/>
      <c r="J348" s="243"/>
      <c r="K348" s="243"/>
      <c r="L348" s="243"/>
      <c r="M348" s="243"/>
      <c r="N348" s="243"/>
      <c r="O348" s="243"/>
      <c r="P348" s="232"/>
      <c r="Q348" s="94" t="s">
        <v>130</v>
      </c>
      <c r="R348" s="81"/>
      <c r="S348" s="81"/>
      <c r="T348" s="81"/>
      <c r="U348" s="81"/>
      <c r="V348" s="81"/>
      <c r="W348" s="81"/>
      <c r="X348" s="81"/>
      <c r="Y348" s="82"/>
      <c r="Z348" s="82"/>
      <c r="AA348" s="82"/>
      <c r="AB348" s="82"/>
      <c r="AC348" s="82"/>
      <c r="AD348" s="82"/>
      <c r="AE348" s="82"/>
      <c r="AF348" s="82"/>
      <c r="AG348" s="82"/>
      <c r="AH348" s="82"/>
      <c r="AI348" s="82"/>
      <c r="AJ348" s="82"/>
      <c r="AK348" s="82"/>
      <c r="AL348" s="82"/>
      <c r="AM348" s="82"/>
      <c r="AN348" s="82"/>
    </row>
    <row r="349" spans="1:40" ht="17.100000000000001" customHeight="1" x14ac:dyDescent="0.25">
      <c r="A349" s="243"/>
      <c r="B349" s="230" t="s">
        <v>32</v>
      </c>
      <c r="C349" s="243"/>
      <c r="D349" s="243"/>
      <c r="E349" s="243"/>
      <c r="F349" s="243"/>
      <c r="G349" s="243"/>
      <c r="H349" s="243"/>
      <c r="I349" s="243"/>
      <c r="J349" s="243"/>
      <c r="K349" s="243"/>
      <c r="L349" s="243"/>
      <c r="M349" s="243"/>
      <c r="N349" s="243"/>
      <c r="O349" s="243"/>
      <c r="P349" s="232"/>
      <c r="Q349" s="94" t="s">
        <v>130</v>
      </c>
      <c r="R349" s="81"/>
      <c r="S349" s="81"/>
      <c r="T349" s="81"/>
      <c r="U349" s="81"/>
      <c r="V349" s="81"/>
      <c r="W349" s="81"/>
      <c r="X349" s="81"/>
      <c r="Y349" s="82"/>
      <c r="Z349" s="82"/>
      <c r="AA349" s="82"/>
      <c r="AB349" s="82"/>
      <c r="AC349" s="82"/>
      <c r="AD349" s="82"/>
      <c r="AE349" s="82"/>
      <c r="AF349" s="82"/>
      <c r="AG349" s="82"/>
      <c r="AH349" s="82"/>
      <c r="AI349" s="82"/>
      <c r="AJ349" s="82"/>
      <c r="AK349" s="82"/>
      <c r="AL349" s="82"/>
      <c r="AM349" s="82"/>
      <c r="AN349" s="82"/>
    </row>
    <row r="350" spans="1:40" ht="15" x14ac:dyDescent="0.25">
      <c r="A350" s="243"/>
      <c r="B350" s="230" t="s">
        <v>32</v>
      </c>
      <c r="C350" s="243"/>
      <c r="D350" s="243" t="str">
        <f>+D304</f>
        <v>الإيرادات السنوية</v>
      </c>
      <c r="E350" s="278">
        <f>H304</f>
        <v>4317662</v>
      </c>
      <c r="F350" s="278">
        <f>I304</f>
        <v>6499961</v>
      </c>
      <c r="G350" s="278">
        <f>J304</f>
        <v>7999952</v>
      </c>
      <c r="H350" s="278">
        <f>K304</f>
        <v>8999946</v>
      </c>
      <c r="I350" s="278">
        <f>L304</f>
        <v>9999940</v>
      </c>
      <c r="J350" s="243"/>
      <c r="K350" s="243"/>
      <c r="L350" s="243"/>
      <c r="M350" s="243"/>
      <c r="N350" s="243"/>
      <c r="O350" s="243"/>
      <c r="P350" s="232"/>
      <c r="Q350" s="94" t="s">
        <v>130</v>
      </c>
      <c r="R350" s="81"/>
      <c r="S350" s="81"/>
      <c r="T350" s="81"/>
      <c r="U350" s="81"/>
      <c r="V350" s="81"/>
      <c r="W350" s="81"/>
      <c r="X350" s="81"/>
      <c r="Y350" s="82"/>
      <c r="Z350" s="82"/>
      <c r="AA350" s="82"/>
      <c r="AB350" s="82"/>
      <c r="AC350" s="82"/>
      <c r="AD350" s="82"/>
      <c r="AE350" s="82"/>
      <c r="AF350" s="82"/>
      <c r="AG350" s="82"/>
      <c r="AH350" s="82"/>
      <c r="AI350" s="82"/>
      <c r="AJ350" s="82"/>
      <c r="AK350" s="82"/>
      <c r="AL350" s="82"/>
      <c r="AM350" s="82"/>
      <c r="AN350" s="82"/>
    </row>
    <row r="351" spans="1:40" ht="15" x14ac:dyDescent="0.25">
      <c r="A351" s="243"/>
      <c r="B351" s="230"/>
      <c r="C351" s="243"/>
      <c r="D351" s="243"/>
      <c r="E351" s="278"/>
      <c r="F351" s="278"/>
      <c r="G351" s="278"/>
      <c r="H351" s="278"/>
      <c r="I351" s="278"/>
      <c r="J351" s="243"/>
      <c r="K351" s="243"/>
      <c r="L351" s="243"/>
      <c r="M351" s="243"/>
      <c r="N351" s="243"/>
      <c r="O351" s="243"/>
      <c r="P351" s="232"/>
      <c r="Q351" s="94" t="s">
        <v>130</v>
      </c>
      <c r="R351" s="81"/>
      <c r="S351" s="81"/>
      <c r="T351" s="81"/>
      <c r="U351" s="81"/>
      <c r="V351" s="81"/>
      <c r="W351" s="81"/>
      <c r="X351" s="81"/>
      <c r="Y351" s="82"/>
      <c r="Z351" s="82"/>
      <c r="AA351" s="82"/>
      <c r="AB351" s="82"/>
      <c r="AC351" s="82"/>
      <c r="AD351" s="82"/>
      <c r="AE351" s="82"/>
      <c r="AF351" s="82"/>
      <c r="AG351" s="82"/>
      <c r="AH351" s="82"/>
      <c r="AI351" s="82"/>
      <c r="AJ351" s="82"/>
      <c r="AK351" s="82"/>
      <c r="AL351" s="82"/>
      <c r="AM351" s="82"/>
      <c r="AN351" s="82"/>
    </row>
    <row r="352" spans="1:40" ht="15" x14ac:dyDescent="0.25">
      <c r="A352" s="243"/>
      <c r="B352" s="230"/>
      <c r="C352" s="243"/>
      <c r="D352" s="243"/>
      <c r="E352" s="278"/>
      <c r="F352" s="278"/>
      <c r="G352" s="278"/>
      <c r="H352" s="278"/>
      <c r="I352" s="278"/>
      <c r="J352" s="243"/>
      <c r="K352" s="243"/>
      <c r="L352" s="243"/>
      <c r="M352" s="243"/>
      <c r="N352" s="243"/>
      <c r="O352" s="243"/>
      <c r="P352" s="232"/>
      <c r="Q352" s="94" t="s">
        <v>130</v>
      </c>
      <c r="R352" s="81"/>
      <c r="S352" s="81"/>
      <c r="T352" s="81"/>
      <c r="U352" s="81"/>
      <c r="V352" s="81"/>
      <c r="W352" s="81"/>
      <c r="X352" s="81"/>
      <c r="Y352" s="82"/>
      <c r="Z352" s="82"/>
      <c r="AA352" s="82"/>
      <c r="AB352" s="82"/>
      <c r="AC352" s="82"/>
      <c r="AD352" s="82"/>
      <c r="AE352" s="82"/>
      <c r="AF352" s="82"/>
      <c r="AG352" s="82"/>
      <c r="AH352" s="82"/>
      <c r="AI352" s="82"/>
      <c r="AJ352" s="82"/>
      <c r="AK352" s="82"/>
      <c r="AL352" s="82"/>
      <c r="AM352" s="82"/>
      <c r="AN352" s="82"/>
    </row>
    <row r="353" spans="1:40" ht="15" x14ac:dyDescent="0.25">
      <c r="A353" s="243"/>
      <c r="B353" s="230"/>
      <c r="C353" s="243"/>
      <c r="D353" s="243"/>
      <c r="E353" s="278"/>
      <c r="F353" s="278"/>
      <c r="G353" s="278"/>
      <c r="H353" s="278"/>
      <c r="I353" s="278"/>
      <c r="J353" s="243"/>
      <c r="K353" s="243"/>
      <c r="L353" s="243"/>
      <c r="M353" s="243"/>
      <c r="N353" s="243"/>
      <c r="O353" s="243"/>
      <c r="P353" s="232"/>
      <c r="Q353" s="94" t="s">
        <v>130</v>
      </c>
      <c r="R353" s="81"/>
      <c r="S353" s="81"/>
      <c r="T353" s="81"/>
      <c r="U353" s="81"/>
      <c r="V353" s="81"/>
      <c r="W353" s="81"/>
      <c r="X353" s="81"/>
      <c r="Y353" s="82"/>
      <c r="Z353" s="82"/>
      <c r="AA353" s="82"/>
      <c r="AB353" s="82"/>
      <c r="AC353" s="82"/>
      <c r="AD353" s="82"/>
      <c r="AE353" s="82"/>
      <c r="AF353" s="82"/>
      <c r="AG353" s="82"/>
      <c r="AH353" s="82"/>
      <c r="AI353" s="82"/>
      <c r="AJ353" s="82"/>
      <c r="AK353" s="82"/>
      <c r="AL353" s="82"/>
      <c r="AM353" s="82"/>
      <c r="AN353" s="82"/>
    </row>
    <row r="354" spans="1:40" ht="15" x14ac:dyDescent="0.25">
      <c r="A354" s="243"/>
      <c r="B354" s="230"/>
      <c r="C354" s="243"/>
      <c r="D354" s="243"/>
      <c r="E354" s="278"/>
      <c r="F354" s="278"/>
      <c r="G354" s="278"/>
      <c r="H354" s="278"/>
      <c r="I354" s="278"/>
      <c r="J354" s="243"/>
      <c r="K354" s="243"/>
      <c r="L354" s="243"/>
      <c r="M354" s="243"/>
      <c r="N354" s="243"/>
      <c r="O354" s="243"/>
      <c r="P354" s="232"/>
      <c r="Q354" s="94" t="s">
        <v>130</v>
      </c>
      <c r="R354" s="81"/>
      <c r="S354" s="81"/>
      <c r="T354" s="81"/>
      <c r="U354" s="81"/>
      <c r="V354" s="81"/>
      <c r="W354" s="81"/>
      <c r="X354" s="81"/>
      <c r="Y354" s="82"/>
      <c r="Z354" s="82"/>
      <c r="AA354" s="82"/>
      <c r="AB354" s="82"/>
      <c r="AC354" s="82"/>
      <c r="AD354" s="82"/>
      <c r="AE354" s="82"/>
      <c r="AF354" s="82"/>
      <c r="AG354" s="82"/>
      <c r="AH354" s="82"/>
      <c r="AI354" s="82"/>
      <c r="AJ354" s="82"/>
      <c r="AK354" s="82"/>
      <c r="AL354" s="82"/>
      <c r="AM354" s="82"/>
      <c r="AN354" s="82"/>
    </row>
    <row r="355" spans="1:40" ht="15" x14ac:dyDescent="0.25">
      <c r="A355" s="243"/>
      <c r="B355" s="230"/>
      <c r="C355" s="243"/>
      <c r="D355" s="243"/>
      <c r="E355" s="278"/>
      <c r="F355" s="278"/>
      <c r="G355" s="278"/>
      <c r="H355" s="278"/>
      <c r="I355" s="278"/>
      <c r="J355" s="243"/>
      <c r="K355" s="243"/>
      <c r="L355" s="243"/>
      <c r="M355" s="243"/>
      <c r="N355" s="243"/>
      <c r="O355" s="243"/>
      <c r="P355" s="232"/>
      <c r="Q355" s="94" t="s">
        <v>130</v>
      </c>
      <c r="R355" s="81"/>
      <c r="S355" s="81"/>
      <c r="T355" s="81"/>
      <c r="U355" s="81"/>
      <c r="V355" s="81"/>
      <c r="W355" s="81"/>
      <c r="X355" s="81"/>
      <c r="Y355" s="82"/>
      <c r="Z355" s="82"/>
      <c r="AA355" s="82"/>
      <c r="AB355" s="82"/>
      <c r="AC355" s="82"/>
      <c r="AD355" s="82"/>
      <c r="AE355" s="82"/>
      <c r="AF355" s="82"/>
      <c r="AG355" s="82"/>
      <c r="AH355" s="82"/>
      <c r="AI355" s="82"/>
      <c r="AJ355" s="82"/>
      <c r="AK355" s="82"/>
      <c r="AL355" s="82"/>
      <c r="AM355" s="82"/>
      <c r="AN355" s="82"/>
    </row>
    <row r="356" spans="1:40" ht="15" x14ac:dyDescent="0.25">
      <c r="A356" s="243"/>
      <c r="B356" s="230"/>
      <c r="C356" s="243"/>
      <c r="D356" s="243"/>
      <c r="E356" s="278"/>
      <c r="F356" s="278"/>
      <c r="G356" s="278"/>
      <c r="H356" s="278"/>
      <c r="I356" s="278"/>
      <c r="J356" s="243"/>
      <c r="K356" s="243"/>
      <c r="L356" s="243"/>
      <c r="M356" s="243"/>
      <c r="N356" s="243"/>
      <c r="O356" s="243"/>
      <c r="P356" s="232"/>
      <c r="Q356" s="94" t="s">
        <v>130</v>
      </c>
      <c r="R356" s="81"/>
      <c r="S356" s="81"/>
      <c r="T356" s="81"/>
      <c r="U356" s="81"/>
      <c r="V356" s="81"/>
      <c r="W356" s="81"/>
      <c r="X356" s="81"/>
      <c r="Y356" s="82"/>
      <c r="Z356" s="82"/>
      <c r="AA356" s="82"/>
      <c r="AB356" s="82"/>
      <c r="AC356" s="82"/>
      <c r="AD356" s="82"/>
      <c r="AE356" s="82"/>
      <c r="AF356" s="82"/>
      <c r="AG356" s="82"/>
      <c r="AH356" s="82"/>
      <c r="AI356" s="82"/>
      <c r="AJ356" s="82"/>
      <c r="AK356" s="82"/>
      <c r="AL356" s="82"/>
      <c r="AM356" s="82"/>
      <c r="AN356" s="82"/>
    </row>
    <row r="357" spans="1:40" ht="18.75" customHeight="1" x14ac:dyDescent="0.25">
      <c r="A357" s="243"/>
      <c r="B357" s="230"/>
      <c r="C357" s="243"/>
      <c r="D357" s="243" t="str">
        <f>D155</f>
        <v xml:space="preserve">التكلفة </v>
      </c>
      <c r="E357" s="278">
        <f>-J155</f>
        <v>1827441.4000000001</v>
      </c>
      <c r="F357" s="278">
        <f>-K155</f>
        <v>2751324.55</v>
      </c>
      <c r="G357" s="278">
        <f>-L155</f>
        <v>3386245.6</v>
      </c>
      <c r="H357" s="278">
        <f>-M155</f>
        <v>3809526.3</v>
      </c>
      <c r="I357" s="278">
        <f>-N155</f>
        <v>4232807</v>
      </c>
      <c r="J357" s="243"/>
      <c r="K357" s="243"/>
      <c r="L357" s="243"/>
      <c r="M357" s="243"/>
      <c r="N357" s="243"/>
      <c r="O357" s="243"/>
      <c r="P357" s="232"/>
      <c r="Q357" s="94" t="s">
        <v>130</v>
      </c>
      <c r="R357" s="81"/>
      <c r="S357" s="81"/>
      <c r="T357" s="81"/>
      <c r="U357" s="81"/>
      <c r="V357" s="81"/>
      <c r="W357" s="81"/>
      <c r="X357" s="81"/>
      <c r="Y357" s="82"/>
      <c r="Z357" s="82"/>
      <c r="AA357" s="82"/>
      <c r="AB357" s="82"/>
      <c r="AC357" s="82"/>
      <c r="AD357" s="82"/>
      <c r="AE357" s="82"/>
      <c r="AF357" s="82"/>
      <c r="AG357" s="82"/>
      <c r="AH357" s="82"/>
      <c r="AI357" s="82"/>
      <c r="AJ357" s="82"/>
      <c r="AK357" s="82"/>
      <c r="AL357" s="82"/>
      <c r="AM357" s="82"/>
      <c r="AN357" s="82"/>
    </row>
    <row r="358" spans="1:40" ht="15" x14ac:dyDescent="0.25">
      <c r="A358" s="243"/>
      <c r="B358" s="230"/>
      <c r="C358" s="243"/>
      <c r="D358" s="243" t="str">
        <f>D156</f>
        <v>مجمل الربح</v>
      </c>
      <c r="E358" s="278">
        <f>+J156</f>
        <v>2490220.5999999996</v>
      </c>
      <c r="F358" s="278">
        <f>+K156</f>
        <v>3748636.45</v>
      </c>
      <c r="G358" s="278">
        <f>+L156</f>
        <v>4613706.4000000004</v>
      </c>
      <c r="H358" s="278">
        <f>+M156</f>
        <v>5190419.7</v>
      </c>
      <c r="I358" s="278">
        <f>+N156</f>
        <v>5767133</v>
      </c>
      <c r="J358" s="243"/>
      <c r="K358" s="243"/>
      <c r="L358" s="243"/>
      <c r="M358" s="243"/>
      <c r="N358" s="243"/>
      <c r="O358" s="243"/>
      <c r="P358" s="232"/>
      <c r="Q358" s="94" t="s">
        <v>130</v>
      </c>
      <c r="R358" s="81"/>
      <c r="S358" s="81"/>
      <c r="T358" s="81"/>
      <c r="U358" s="81"/>
      <c r="V358" s="81"/>
      <c r="W358" s="81"/>
      <c r="X358" s="81"/>
      <c r="Y358" s="82"/>
      <c r="Z358" s="82"/>
      <c r="AA358" s="82"/>
      <c r="AB358" s="82"/>
      <c r="AC358" s="82"/>
      <c r="AD358" s="82"/>
      <c r="AE358" s="82"/>
      <c r="AF358" s="82"/>
      <c r="AG358" s="82"/>
      <c r="AH358" s="82"/>
      <c r="AI358" s="82"/>
      <c r="AJ358" s="82"/>
      <c r="AK358" s="82"/>
      <c r="AL358" s="82"/>
      <c r="AM358" s="82"/>
      <c r="AN358" s="82"/>
    </row>
    <row r="359" spans="1:40" ht="15" x14ac:dyDescent="0.25">
      <c r="A359" s="243"/>
      <c r="B359" s="230"/>
      <c r="C359" s="243"/>
      <c r="D359" s="243"/>
      <c r="E359" s="278"/>
      <c r="F359" s="278"/>
      <c r="G359" s="278"/>
      <c r="H359" s="278"/>
      <c r="I359" s="278"/>
      <c r="J359" s="243"/>
      <c r="K359" s="243"/>
      <c r="L359" s="243"/>
      <c r="M359" s="243"/>
      <c r="N359" s="243"/>
      <c r="O359" s="243"/>
      <c r="P359" s="232"/>
      <c r="Q359" s="94" t="s">
        <v>130</v>
      </c>
      <c r="R359" s="81"/>
      <c r="S359" s="81"/>
      <c r="T359" s="81"/>
      <c r="U359" s="81"/>
      <c r="V359" s="81"/>
      <c r="W359" s="81"/>
      <c r="X359" s="81"/>
      <c r="Y359" s="82"/>
      <c r="Z359" s="82"/>
      <c r="AA359" s="82"/>
      <c r="AB359" s="82"/>
      <c r="AC359" s="82"/>
      <c r="AD359" s="82"/>
      <c r="AE359" s="82"/>
      <c r="AF359" s="82"/>
      <c r="AG359" s="82"/>
      <c r="AH359" s="82"/>
      <c r="AI359" s="82"/>
      <c r="AJ359" s="82"/>
      <c r="AK359" s="82"/>
      <c r="AL359" s="82"/>
      <c r="AM359" s="82"/>
      <c r="AN359" s="82"/>
    </row>
    <row r="360" spans="1:40" ht="15" x14ac:dyDescent="0.25">
      <c r="A360" s="243"/>
      <c r="B360" s="230"/>
      <c r="C360" s="243"/>
      <c r="D360" s="243"/>
      <c r="E360" s="278"/>
      <c r="F360" s="278"/>
      <c r="G360" s="278"/>
      <c r="H360" s="243"/>
      <c r="I360" s="258"/>
      <c r="J360" s="243"/>
      <c r="K360" s="243"/>
      <c r="L360" s="243"/>
      <c r="M360" s="243"/>
      <c r="N360" s="243"/>
      <c r="O360" s="243"/>
      <c r="P360" s="232"/>
      <c r="Q360" s="94" t="s">
        <v>130</v>
      </c>
      <c r="R360" s="81"/>
      <c r="S360" s="81"/>
      <c r="T360" s="81"/>
      <c r="U360" s="81"/>
      <c r="V360" s="81"/>
      <c r="W360" s="81"/>
      <c r="X360" s="81"/>
      <c r="Y360" s="82"/>
      <c r="Z360" s="82"/>
      <c r="AA360" s="82"/>
      <c r="AB360" s="82"/>
      <c r="AC360" s="82"/>
      <c r="AD360" s="82"/>
      <c r="AE360" s="82"/>
      <c r="AF360" s="82"/>
      <c r="AG360" s="82"/>
      <c r="AH360" s="82"/>
      <c r="AI360" s="82"/>
      <c r="AJ360" s="82"/>
      <c r="AK360" s="82"/>
      <c r="AL360" s="82"/>
      <c r="AM360" s="82"/>
      <c r="AN360" s="82"/>
    </row>
    <row r="361" spans="1:40" ht="15" x14ac:dyDescent="0.25">
      <c r="A361" s="243"/>
      <c r="B361" s="230"/>
      <c r="C361" s="243"/>
      <c r="D361" s="243"/>
      <c r="E361" s="278"/>
      <c r="F361" s="278"/>
      <c r="G361" s="278"/>
      <c r="H361" s="243"/>
      <c r="I361" s="258"/>
      <c r="J361" s="243"/>
      <c r="K361" s="243"/>
      <c r="L361" s="243"/>
      <c r="M361" s="243"/>
      <c r="N361" s="243"/>
      <c r="O361" s="243"/>
      <c r="P361" s="232"/>
      <c r="Q361" s="94" t="s">
        <v>130</v>
      </c>
      <c r="R361" s="81"/>
      <c r="S361" s="81"/>
      <c r="T361" s="81"/>
      <c r="U361" s="81"/>
      <c r="V361" s="81"/>
      <c r="W361" s="81"/>
      <c r="X361" s="81"/>
      <c r="Y361" s="82"/>
      <c r="Z361" s="82"/>
      <c r="AA361" s="82"/>
      <c r="AB361" s="82"/>
      <c r="AC361" s="82"/>
      <c r="AD361" s="82"/>
      <c r="AE361" s="82"/>
      <c r="AF361" s="82"/>
      <c r="AG361" s="82"/>
      <c r="AH361" s="82"/>
      <c r="AI361" s="82"/>
      <c r="AJ361" s="82"/>
      <c r="AK361" s="82"/>
      <c r="AL361" s="82"/>
      <c r="AM361" s="82"/>
      <c r="AN361" s="82"/>
    </row>
    <row r="362" spans="1:40" ht="15" x14ac:dyDescent="0.25">
      <c r="A362" s="243"/>
      <c r="B362" s="230"/>
      <c r="C362" s="243"/>
      <c r="D362" s="243"/>
      <c r="E362" s="278"/>
      <c r="F362" s="278"/>
      <c r="G362" s="278"/>
      <c r="H362" s="243"/>
      <c r="I362" s="258"/>
      <c r="J362" s="243"/>
      <c r="K362" s="243"/>
      <c r="L362" s="243"/>
      <c r="M362" s="243"/>
      <c r="N362" s="243"/>
      <c r="O362" s="243"/>
      <c r="P362" s="232"/>
      <c r="Q362" s="94" t="s">
        <v>130</v>
      </c>
      <c r="R362" s="81"/>
      <c r="S362" s="81"/>
      <c r="T362" s="81"/>
      <c r="U362" s="81"/>
      <c r="V362" s="81"/>
      <c r="W362" s="81"/>
      <c r="X362" s="81"/>
      <c r="Y362" s="82"/>
      <c r="Z362" s="82"/>
      <c r="AA362" s="82"/>
      <c r="AB362" s="82"/>
      <c r="AC362" s="82"/>
      <c r="AD362" s="82"/>
      <c r="AE362" s="82"/>
      <c r="AF362" s="82"/>
      <c r="AG362" s="82"/>
      <c r="AH362" s="82"/>
      <c r="AI362" s="82"/>
      <c r="AJ362" s="82"/>
      <c r="AK362" s="82"/>
      <c r="AL362" s="82"/>
      <c r="AM362" s="82"/>
      <c r="AN362" s="82"/>
    </row>
    <row r="363" spans="1:40" ht="15" x14ac:dyDescent="0.25">
      <c r="A363" s="243"/>
      <c r="B363" s="230"/>
      <c r="C363" s="243"/>
      <c r="D363" s="243"/>
      <c r="E363" s="278"/>
      <c r="F363" s="278"/>
      <c r="G363" s="278"/>
      <c r="H363" s="243"/>
      <c r="I363" s="258"/>
      <c r="J363" s="243"/>
      <c r="K363" s="243"/>
      <c r="L363" s="243"/>
      <c r="M363" s="243"/>
      <c r="N363" s="243"/>
      <c r="O363" s="243"/>
      <c r="P363" s="232"/>
      <c r="Q363" s="94" t="s">
        <v>130</v>
      </c>
      <c r="R363" s="81"/>
      <c r="S363" s="81"/>
      <c r="T363" s="81"/>
      <c r="U363" s="81"/>
      <c r="V363" s="81"/>
      <c r="W363" s="81"/>
      <c r="X363" s="81"/>
      <c r="Y363" s="82"/>
      <c r="Z363" s="82"/>
      <c r="AA363" s="82"/>
      <c r="AB363" s="82"/>
      <c r="AC363" s="82"/>
      <c r="AD363" s="82"/>
      <c r="AE363" s="82"/>
      <c r="AF363" s="82"/>
      <c r="AG363" s="82"/>
      <c r="AH363" s="82"/>
      <c r="AI363" s="82"/>
      <c r="AJ363" s="82"/>
      <c r="AK363" s="82"/>
      <c r="AL363" s="82"/>
      <c r="AM363" s="82"/>
      <c r="AN363" s="82"/>
    </row>
    <row r="364" spans="1:40" ht="15" x14ac:dyDescent="0.25">
      <c r="A364" s="243"/>
      <c r="B364" s="230"/>
      <c r="C364" s="243"/>
      <c r="D364" s="243"/>
      <c r="E364" s="278"/>
      <c r="F364" s="278"/>
      <c r="G364" s="278"/>
      <c r="H364" s="243"/>
      <c r="I364" s="258"/>
      <c r="J364" s="243"/>
      <c r="K364" s="243"/>
      <c r="L364" s="243"/>
      <c r="M364" s="243"/>
      <c r="N364" s="243"/>
      <c r="O364" s="243"/>
      <c r="P364" s="232"/>
      <c r="Q364" s="94" t="s">
        <v>130</v>
      </c>
      <c r="R364" s="81"/>
      <c r="S364" s="81"/>
      <c r="T364" s="81"/>
      <c r="U364" s="81"/>
      <c r="V364" s="81"/>
      <c r="W364" s="81"/>
      <c r="X364" s="81"/>
      <c r="Y364" s="82"/>
      <c r="Z364" s="82"/>
      <c r="AA364" s="82"/>
      <c r="AB364" s="82"/>
      <c r="AC364" s="82"/>
      <c r="AD364" s="82"/>
      <c r="AE364" s="82"/>
      <c r="AF364" s="82"/>
      <c r="AG364" s="82"/>
      <c r="AH364" s="82"/>
      <c r="AI364" s="82"/>
      <c r="AJ364" s="82"/>
      <c r="AK364" s="82"/>
      <c r="AL364" s="82"/>
      <c r="AM364" s="82"/>
      <c r="AN364" s="82"/>
    </row>
    <row r="365" spans="1:40" ht="15" x14ac:dyDescent="0.25">
      <c r="A365" s="243"/>
      <c r="B365" s="230"/>
      <c r="C365" s="243"/>
      <c r="D365" s="243"/>
      <c r="E365" s="243"/>
      <c r="F365" s="243"/>
      <c r="G365" s="243"/>
      <c r="H365" s="243"/>
      <c r="I365" s="258"/>
      <c r="J365" s="243"/>
      <c r="K365" s="243"/>
      <c r="L365" s="243"/>
      <c r="M365" s="243"/>
      <c r="N365" s="243"/>
      <c r="O365" s="243"/>
      <c r="P365" s="232"/>
      <c r="Q365" s="94" t="s">
        <v>130</v>
      </c>
      <c r="R365" s="81"/>
      <c r="S365" s="81"/>
      <c r="T365" s="81"/>
      <c r="U365" s="81"/>
      <c r="V365" s="81"/>
      <c r="W365" s="81"/>
      <c r="X365" s="81"/>
      <c r="Y365" s="82"/>
      <c r="Z365" s="82"/>
      <c r="AA365" s="82"/>
      <c r="AB365" s="82"/>
      <c r="AC365" s="82"/>
      <c r="AD365" s="82"/>
      <c r="AE365" s="82"/>
      <c r="AF365" s="82"/>
      <c r="AG365" s="82"/>
      <c r="AH365" s="82"/>
      <c r="AI365" s="82"/>
      <c r="AJ365" s="82"/>
      <c r="AK365" s="82"/>
      <c r="AL365" s="82"/>
      <c r="AM365" s="82"/>
      <c r="AN365" s="82"/>
    </row>
    <row r="366" spans="1:40" ht="15" x14ac:dyDescent="0.25">
      <c r="A366" s="243"/>
      <c r="B366" s="230"/>
      <c r="C366" s="243"/>
      <c r="D366" s="243"/>
      <c r="E366" s="243"/>
      <c r="F366" s="243"/>
      <c r="G366" s="243"/>
      <c r="H366" s="243"/>
      <c r="I366" s="258"/>
      <c r="J366" s="243"/>
      <c r="K366" s="243"/>
      <c r="L366" s="243"/>
      <c r="M366" s="243"/>
      <c r="N366" s="243"/>
      <c r="O366" s="243"/>
      <c r="P366" s="232"/>
      <c r="Q366" s="94" t="s">
        <v>130</v>
      </c>
      <c r="R366" s="81"/>
      <c r="S366" s="81"/>
      <c r="T366" s="81"/>
      <c r="U366" s="81"/>
      <c r="V366" s="81"/>
      <c r="W366" s="81"/>
      <c r="X366" s="81"/>
      <c r="Y366" s="82"/>
      <c r="Z366" s="82"/>
      <c r="AA366" s="82"/>
      <c r="AB366" s="82"/>
      <c r="AC366" s="82"/>
      <c r="AD366" s="82"/>
      <c r="AE366" s="82"/>
      <c r="AF366" s="82"/>
      <c r="AG366" s="82"/>
      <c r="AH366" s="82"/>
      <c r="AI366" s="82"/>
      <c r="AJ366" s="82"/>
      <c r="AK366" s="82"/>
      <c r="AL366" s="82"/>
      <c r="AM366" s="82"/>
      <c r="AN366" s="82"/>
    </row>
    <row r="367" spans="1:40" ht="15.6" x14ac:dyDescent="0.25">
      <c r="A367" s="227"/>
      <c r="B367" s="230"/>
      <c r="C367" s="227"/>
      <c r="D367" s="227"/>
      <c r="E367" s="227"/>
      <c r="F367" s="227"/>
      <c r="G367" s="227"/>
      <c r="H367" s="227"/>
      <c r="I367" s="231"/>
      <c r="J367" s="227"/>
      <c r="K367" s="271"/>
      <c r="L367" s="271"/>
      <c r="M367" s="271"/>
      <c r="N367" s="227"/>
      <c r="O367" s="272"/>
      <c r="P367" s="232"/>
      <c r="Q367" s="94" t="s">
        <v>130</v>
      </c>
      <c r="R367" s="81"/>
      <c r="S367" s="81"/>
      <c r="T367" s="81"/>
      <c r="U367" s="81"/>
      <c r="V367" s="81"/>
      <c r="W367" s="81"/>
      <c r="X367" s="81"/>
      <c r="Y367" s="82"/>
      <c r="Z367" s="82"/>
      <c r="AA367" s="82"/>
      <c r="AB367" s="82"/>
      <c r="AC367" s="82"/>
      <c r="AD367" s="82"/>
      <c r="AE367" s="82"/>
      <c r="AF367" s="82"/>
      <c r="AG367" s="82"/>
      <c r="AH367" s="82"/>
      <c r="AI367" s="82"/>
      <c r="AJ367" s="82"/>
      <c r="AK367" s="82"/>
      <c r="AL367" s="82"/>
      <c r="AM367" s="82"/>
      <c r="AN367" s="82"/>
    </row>
    <row r="368" spans="1:40" ht="15.6" x14ac:dyDescent="0.25">
      <c r="A368" s="227"/>
      <c r="B368" s="230"/>
      <c r="C368" s="227"/>
      <c r="D368" s="227"/>
      <c r="E368" s="227"/>
      <c r="F368" s="227"/>
      <c r="G368" s="227"/>
      <c r="H368" s="227"/>
      <c r="I368" s="231"/>
      <c r="J368" s="227"/>
      <c r="K368" s="271"/>
      <c r="L368" s="271"/>
      <c r="M368" s="271"/>
      <c r="N368" s="227"/>
      <c r="O368" s="272"/>
      <c r="P368" s="232"/>
      <c r="Q368" s="94" t="s">
        <v>130</v>
      </c>
      <c r="R368" s="81"/>
      <c r="S368" s="81"/>
      <c r="T368" s="81"/>
      <c r="U368" s="81"/>
      <c r="V368" s="81"/>
      <c r="W368" s="81"/>
      <c r="X368" s="81"/>
      <c r="Y368" s="82"/>
      <c r="Z368" s="82"/>
      <c r="AA368" s="82"/>
      <c r="AB368" s="82"/>
      <c r="AC368" s="82"/>
      <c r="AD368" s="82"/>
      <c r="AE368" s="82"/>
      <c r="AF368" s="82"/>
      <c r="AG368" s="82"/>
      <c r="AH368" s="82"/>
      <c r="AI368" s="82"/>
      <c r="AJ368" s="82"/>
      <c r="AK368" s="82"/>
      <c r="AL368" s="82"/>
      <c r="AM368" s="82"/>
      <c r="AN368" s="82"/>
    </row>
    <row r="369" spans="1:40" ht="15.6" x14ac:dyDescent="0.25">
      <c r="A369" s="227"/>
      <c r="B369" s="230"/>
      <c r="C369" s="227"/>
      <c r="D369" s="227"/>
      <c r="E369" s="227"/>
      <c r="F369" s="227"/>
      <c r="G369" s="227"/>
      <c r="H369" s="227"/>
      <c r="I369" s="231"/>
      <c r="J369" s="227"/>
      <c r="K369" s="271"/>
      <c r="L369" s="271"/>
      <c r="M369" s="271"/>
      <c r="N369" s="227"/>
      <c r="O369" s="272"/>
      <c r="P369" s="232"/>
      <c r="Q369" s="94" t="s">
        <v>130</v>
      </c>
      <c r="R369" s="81"/>
      <c r="S369" s="81"/>
      <c r="T369" s="81"/>
      <c r="U369" s="81"/>
      <c r="V369" s="81"/>
      <c r="W369" s="81"/>
      <c r="X369" s="81"/>
      <c r="Y369" s="82"/>
      <c r="Z369" s="82"/>
      <c r="AA369" s="82"/>
      <c r="AB369" s="82"/>
      <c r="AC369" s="82"/>
      <c r="AD369" s="82"/>
      <c r="AE369" s="82"/>
      <c r="AF369" s="82"/>
      <c r="AG369" s="82"/>
      <c r="AH369" s="82"/>
      <c r="AI369" s="82"/>
      <c r="AJ369" s="82"/>
      <c r="AK369" s="82"/>
      <c r="AL369" s="82"/>
      <c r="AM369" s="82"/>
      <c r="AN369" s="82"/>
    </row>
    <row r="370" spans="1:40" ht="15.6" x14ac:dyDescent="0.25">
      <c r="A370" s="227"/>
      <c r="B370" s="230"/>
      <c r="C370" s="227"/>
      <c r="D370" s="227"/>
      <c r="E370" s="227"/>
      <c r="F370" s="227"/>
      <c r="G370" s="227"/>
      <c r="H370" s="227"/>
      <c r="I370" s="231"/>
      <c r="J370" s="227"/>
      <c r="K370" s="271"/>
      <c r="L370" s="271"/>
      <c r="M370" s="271"/>
      <c r="N370" s="227"/>
      <c r="O370" s="272"/>
      <c r="P370" s="232"/>
      <c r="Q370" s="94" t="s">
        <v>130</v>
      </c>
      <c r="R370" s="81"/>
      <c r="S370" s="81"/>
      <c r="T370" s="81"/>
      <c r="U370" s="81"/>
      <c r="V370" s="81"/>
      <c r="W370" s="81"/>
      <c r="X370" s="81"/>
      <c r="Y370" s="82"/>
      <c r="Z370" s="82"/>
      <c r="AA370" s="82"/>
      <c r="AB370" s="82"/>
      <c r="AC370" s="82"/>
      <c r="AD370" s="82"/>
      <c r="AE370" s="82"/>
      <c r="AF370" s="82"/>
      <c r="AG370" s="82"/>
      <c r="AH370" s="82"/>
      <c r="AI370" s="82"/>
      <c r="AJ370" s="82"/>
      <c r="AK370" s="82"/>
      <c r="AL370" s="82"/>
      <c r="AM370" s="82"/>
      <c r="AN370" s="82"/>
    </row>
    <row r="371" spans="1:40" ht="15.6" x14ac:dyDescent="0.25">
      <c r="A371" s="227"/>
      <c r="B371" s="230"/>
      <c r="C371" s="227"/>
      <c r="D371" s="227"/>
      <c r="E371" s="227"/>
      <c r="F371" s="227"/>
      <c r="G371" s="227"/>
      <c r="H371" s="227"/>
      <c r="I371" s="231"/>
      <c r="J371" s="227"/>
      <c r="K371" s="271"/>
      <c r="L371" s="271"/>
      <c r="M371" s="271"/>
      <c r="N371" s="227"/>
      <c r="O371" s="272"/>
      <c r="P371" s="232"/>
      <c r="Q371" s="94" t="s">
        <v>130</v>
      </c>
      <c r="R371" s="81"/>
      <c r="S371" s="81"/>
      <c r="T371" s="81"/>
      <c r="U371" s="81"/>
      <c r="V371" s="81"/>
      <c r="W371" s="81"/>
      <c r="X371" s="81"/>
      <c r="Y371" s="82"/>
      <c r="Z371" s="82"/>
      <c r="AA371" s="82"/>
      <c r="AB371" s="82"/>
      <c r="AC371" s="82"/>
      <c r="AD371" s="82"/>
      <c r="AE371" s="82"/>
      <c r="AF371" s="82"/>
      <c r="AG371" s="82"/>
      <c r="AH371" s="82"/>
      <c r="AI371" s="82"/>
      <c r="AJ371" s="82"/>
      <c r="AK371" s="82"/>
      <c r="AL371" s="82"/>
      <c r="AM371" s="82"/>
      <c r="AN371" s="82"/>
    </row>
    <row r="372" spans="1:40" ht="15.6" x14ac:dyDescent="0.25">
      <c r="A372" s="227"/>
      <c r="B372" s="230"/>
      <c r="C372" s="227"/>
      <c r="D372" s="227"/>
      <c r="E372" s="227"/>
      <c r="F372" s="227"/>
      <c r="G372" s="227"/>
      <c r="H372" s="227"/>
      <c r="I372" s="231"/>
      <c r="J372" s="227"/>
      <c r="K372" s="271"/>
      <c r="L372" s="271"/>
      <c r="M372" s="271"/>
      <c r="N372" s="227"/>
      <c r="O372" s="272"/>
      <c r="P372" s="232"/>
      <c r="Q372" s="94" t="s">
        <v>130</v>
      </c>
      <c r="R372" s="81"/>
      <c r="S372" s="81"/>
      <c r="T372" s="81"/>
      <c r="U372" s="81"/>
      <c r="V372" s="81"/>
      <c r="W372" s="81"/>
      <c r="X372" s="81"/>
      <c r="Y372" s="82"/>
      <c r="Z372" s="82"/>
      <c r="AA372" s="82"/>
      <c r="AB372" s="82"/>
      <c r="AC372" s="82"/>
      <c r="AD372" s="82"/>
      <c r="AE372" s="82"/>
      <c r="AF372" s="82"/>
      <c r="AG372" s="82"/>
      <c r="AH372" s="82"/>
      <c r="AI372" s="82"/>
      <c r="AJ372" s="82"/>
      <c r="AK372" s="82"/>
      <c r="AL372" s="82"/>
      <c r="AM372" s="82"/>
      <c r="AN372" s="82"/>
    </row>
    <row r="373" spans="1:40" ht="15.6" x14ac:dyDescent="0.25">
      <c r="A373" s="227"/>
      <c r="B373" s="230"/>
      <c r="C373" s="227"/>
      <c r="D373" s="227"/>
      <c r="E373" s="227"/>
      <c r="F373" s="227"/>
      <c r="G373" s="227"/>
      <c r="H373" s="227"/>
      <c r="I373" s="231"/>
      <c r="J373" s="227"/>
      <c r="K373" s="271"/>
      <c r="L373" s="271"/>
      <c r="M373" s="271"/>
      <c r="N373" s="227"/>
      <c r="O373" s="272"/>
      <c r="P373" s="232"/>
      <c r="Q373" s="94" t="s">
        <v>130</v>
      </c>
      <c r="R373" s="81"/>
      <c r="S373" s="81"/>
      <c r="T373" s="81"/>
      <c r="U373" s="81"/>
      <c r="V373" s="81"/>
      <c r="W373" s="81"/>
      <c r="X373" s="81"/>
      <c r="Y373" s="82"/>
      <c r="Z373" s="82"/>
      <c r="AA373" s="82"/>
      <c r="AB373" s="82"/>
      <c r="AC373" s="82"/>
      <c r="AD373" s="82"/>
      <c r="AE373" s="82"/>
      <c r="AF373" s="82"/>
      <c r="AG373" s="82"/>
      <c r="AH373" s="82"/>
      <c r="AI373" s="82"/>
      <c r="AJ373" s="82"/>
      <c r="AK373" s="82"/>
      <c r="AL373" s="82"/>
      <c r="AM373" s="82"/>
      <c r="AN373" s="82"/>
    </row>
    <row r="374" spans="1:40" ht="15.6" x14ac:dyDescent="0.25">
      <c r="A374" s="227"/>
      <c r="B374" s="230"/>
      <c r="C374" s="227"/>
      <c r="D374" s="227"/>
      <c r="E374" s="227"/>
      <c r="F374" s="227"/>
      <c r="G374" s="227"/>
      <c r="H374" s="227"/>
      <c r="I374" s="231"/>
      <c r="J374" s="227"/>
      <c r="K374" s="271"/>
      <c r="L374" s="271"/>
      <c r="M374" s="271"/>
      <c r="N374" s="227"/>
      <c r="O374" s="272"/>
      <c r="P374" s="232"/>
      <c r="Q374" s="94" t="s">
        <v>130</v>
      </c>
      <c r="R374" s="81"/>
      <c r="S374" s="81"/>
      <c r="T374" s="81"/>
      <c r="U374" s="81"/>
      <c r="V374" s="81"/>
      <c r="W374" s="81"/>
      <c r="X374" s="81"/>
      <c r="Y374" s="82"/>
      <c r="Z374" s="82"/>
      <c r="AA374" s="82"/>
      <c r="AB374" s="82"/>
      <c r="AC374" s="82"/>
      <c r="AD374" s="82"/>
      <c r="AE374" s="82"/>
      <c r="AF374" s="82"/>
      <c r="AG374" s="82"/>
      <c r="AH374" s="82"/>
      <c r="AI374" s="82"/>
      <c r="AJ374" s="82"/>
      <c r="AK374" s="82"/>
      <c r="AL374" s="82"/>
      <c r="AM374" s="82"/>
      <c r="AN374" s="82"/>
    </row>
    <row r="375" spans="1:40" ht="15.6" x14ac:dyDescent="0.25">
      <c r="A375" s="227"/>
      <c r="B375" s="230"/>
      <c r="C375" s="227"/>
      <c r="D375" s="227"/>
      <c r="E375" s="227"/>
      <c r="F375" s="227"/>
      <c r="G375" s="227"/>
      <c r="H375" s="227"/>
      <c r="I375" s="231"/>
      <c r="J375" s="227"/>
      <c r="K375" s="271"/>
      <c r="L375" s="271"/>
      <c r="M375" s="271"/>
      <c r="N375" s="227"/>
      <c r="O375" s="272"/>
      <c r="P375" s="232"/>
      <c r="Q375" s="94" t="s">
        <v>130</v>
      </c>
      <c r="R375" s="81"/>
      <c r="S375" s="81"/>
      <c r="T375" s="81"/>
      <c r="U375" s="81"/>
      <c r="V375" s="81"/>
      <c r="W375" s="81"/>
      <c r="X375" s="81"/>
      <c r="Y375" s="82"/>
      <c r="Z375" s="82"/>
      <c r="AA375" s="82"/>
      <c r="AB375" s="82"/>
      <c r="AC375" s="82"/>
      <c r="AD375" s="82"/>
      <c r="AE375" s="82"/>
      <c r="AF375" s="82"/>
      <c r="AG375" s="82"/>
      <c r="AH375" s="82"/>
      <c r="AI375" s="82"/>
      <c r="AJ375" s="82"/>
      <c r="AK375" s="82"/>
      <c r="AL375" s="82"/>
      <c r="AM375" s="82"/>
      <c r="AN375" s="82"/>
    </row>
    <row r="376" spans="1:40" ht="15.6" x14ac:dyDescent="0.25">
      <c r="A376" s="227"/>
      <c r="B376" s="230"/>
      <c r="C376" s="227"/>
      <c r="D376" s="227"/>
      <c r="E376" s="227"/>
      <c r="F376" s="227"/>
      <c r="G376" s="227"/>
      <c r="H376" s="227"/>
      <c r="I376" s="231"/>
      <c r="J376" s="227"/>
      <c r="K376" s="271"/>
      <c r="L376" s="271"/>
      <c r="M376" s="271"/>
      <c r="N376" s="227"/>
      <c r="O376" s="272"/>
      <c r="P376" s="232"/>
      <c r="Q376" s="94" t="s">
        <v>130</v>
      </c>
      <c r="R376" s="81"/>
      <c r="S376" s="81"/>
      <c r="T376" s="81"/>
      <c r="U376" s="81"/>
      <c r="V376" s="81"/>
      <c r="W376" s="81"/>
      <c r="X376" s="81"/>
      <c r="Y376" s="82"/>
      <c r="Z376" s="82"/>
      <c r="AA376" s="82"/>
      <c r="AB376" s="82"/>
      <c r="AC376" s="82"/>
      <c r="AD376" s="82"/>
      <c r="AE376" s="82"/>
      <c r="AF376" s="82"/>
      <c r="AG376" s="82"/>
      <c r="AH376" s="82"/>
      <c r="AI376" s="82"/>
      <c r="AJ376" s="82"/>
      <c r="AK376" s="82"/>
      <c r="AL376" s="82"/>
      <c r="AM376" s="82"/>
      <c r="AN376" s="82"/>
    </row>
    <row r="377" spans="1:40" ht="15.6" x14ac:dyDescent="0.25">
      <c r="A377" s="227"/>
      <c r="B377" s="230"/>
      <c r="C377" s="227"/>
      <c r="D377" s="227"/>
      <c r="E377" s="227"/>
      <c r="F377" s="227"/>
      <c r="G377" s="227"/>
      <c r="H377" s="227"/>
      <c r="I377" s="231"/>
      <c r="J377" s="227"/>
      <c r="K377" s="271"/>
      <c r="L377" s="271"/>
      <c r="M377" s="271"/>
      <c r="N377" s="227"/>
      <c r="O377" s="272"/>
      <c r="P377" s="232"/>
      <c r="Q377" s="94" t="s">
        <v>130</v>
      </c>
      <c r="R377" s="81"/>
      <c r="S377" s="81"/>
      <c r="T377" s="81"/>
      <c r="U377" s="81"/>
      <c r="V377" s="81"/>
      <c r="W377" s="81"/>
      <c r="X377" s="81"/>
      <c r="Y377" s="82"/>
      <c r="Z377" s="82"/>
      <c r="AA377" s="82"/>
      <c r="AB377" s="82"/>
      <c r="AC377" s="82"/>
      <c r="AD377" s="82"/>
      <c r="AE377" s="82"/>
      <c r="AF377" s="82"/>
      <c r="AG377" s="82"/>
      <c r="AH377" s="82"/>
      <c r="AI377" s="82"/>
      <c r="AJ377" s="82"/>
      <c r="AK377" s="82"/>
      <c r="AL377" s="82"/>
      <c r="AM377" s="82"/>
      <c r="AN377" s="82"/>
    </row>
    <row r="378" spans="1:40" ht="15.6" x14ac:dyDescent="0.25">
      <c r="A378" s="227"/>
      <c r="B378" s="230"/>
      <c r="C378" s="227"/>
      <c r="D378" s="227"/>
      <c r="E378" s="227"/>
      <c r="F378" s="227"/>
      <c r="G378" s="227"/>
      <c r="H378" s="227"/>
      <c r="I378" s="231"/>
      <c r="J378" s="227"/>
      <c r="K378" s="271"/>
      <c r="L378" s="271"/>
      <c r="M378" s="271"/>
      <c r="N378" s="227"/>
      <c r="O378" s="272"/>
      <c r="P378" s="232"/>
      <c r="Q378" s="94" t="s">
        <v>130</v>
      </c>
      <c r="R378" s="81"/>
      <c r="S378" s="81"/>
      <c r="T378" s="81"/>
      <c r="U378" s="81"/>
      <c r="V378" s="81"/>
      <c r="W378" s="81"/>
      <c r="X378" s="81"/>
      <c r="Y378" s="82"/>
      <c r="Z378" s="82"/>
      <c r="AA378" s="82"/>
      <c r="AB378" s="82"/>
      <c r="AC378" s="82"/>
      <c r="AD378" s="82"/>
      <c r="AE378" s="82"/>
      <c r="AF378" s="82"/>
      <c r="AG378" s="82"/>
      <c r="AH378" s="82"/>
      <c r="AI378" s="82"/>
      <c r="AJ378" s="82"/>
      <c r="AK378" s="82"/>
      <c r="AL378" s="82"/>
      <c r="AM378" s="82"/>
      <c r="AN378" s="82"/>
    </row>
    <row r="379" spans="1:40" ht="15.6" x14ac:dyDescent="0.25">
      <c r="A379" s="227"/>
      <c r="B379" s="230"/>
      <c r="C379" s="227"/>
      <c r="D379" s="227"/>
      <c r="E379" s="227"/>
      <c r="F379" s="227"/>
      <c r="G379" s="227"/>
      <c r="H379" s="227"/>
      <c r="I379" s="231"/>
      <c r="J379" s="227"/>
      <c r="K379" s="271"/>
      <c r="L379" s="271"/>
      <c r="M379" s="271"/>
      <c r="N379" s="227"/>
      <c r="O379" s="272"/>
      <c r="P379" s="232"/>
      <c r="Q379" s="94" t="s">
        <v>130</v>
      </c>
      <c r="R379" s="81"/>
      <c r="S379" s="81"/>
      <c r="T379" s="81"/>
      <c r="U379" s="81"/>
      <c r="V379" s="81"/>
      <c r="W379" s="81"/>
      <c r="X379" s="81"/>
      <c r="Y379" s="82"/>
      <c r="Z379" s="82"/>
      <c r="AA379" s="82"/>
      <c r="AB379" s="82"/>
      <c r="AC379" s="82"/>
      <c r="AD379" s="82"/>
      <c r="AE379" s="82"/>
      <c r="AF379" s="82"/>
      <c r="AG379" s="82"/>
      <c r="AH379" s="82"/>
      <c r="AI379" s="82"/>
      <c r="AJ379" s="82"/>
      <c r="AK379" s="82"/>
      <c r="AL379" s="82"/>
      <c r="AM379" s="82"/>
      <c r="AN379" s="82"/>
    </row>
    <row r="380" spans="1:40" ht="15.6" x14ac:dyDescent="0.25">
      <c r="A380" s="227"/>
      <c r="B380" s="230"/>
      <c r="C380" s="227"/>
      <c r="D380" s="227"/>
      <c r="E380" s="227"/>
      <c r="F380" s="227"/>
      <c r="G380" s="227"/>
      <c r="H380" s="227"/>
      <c r="I380" s="231"/>
      <c r="J380" s="227"/>
      <c r="K380" s="271"/>
      <c r="L380" s="271"/>
      <c r="M380" s="271"/>
      <c r="N380" s="227"/>
      <c r="O380" s="272"/>
      <c r="P380" s="232"/>
      <c r="Q380" s="94" t="s">
        <v>130</v>
      </c>
      <c r="R380" s="81"/>
      <c r="S380" s="81"/>
      <c r="T380" s="81"/>
      <c r="U380" s="81"/>
      <c r="V380" s="81"/>
      <c r="W380" s="81"/>
      <c r="X380" s="81"/>
      <c r="Y380" s="82"/>
      <c r="Z380" s="82"/>
      <c r="AA380" s="82"/>
      <c r="AB380" s="82"/>
      <c r="AC380" s="82"/>
      <c r="AD380" s="82"/>
      <c r="AE380" s="82"/>
      <c r="AF380" s="82"/>
      <c r="AG380" s="82"/>
      <c r="AH380" s="82"/>
      <c r="AI380" s="82"/>
      <c r="AJ380" s="82"/>
      <c r="AK380" s="82"/>
      <c r="AL380" s="82"/>
      <c r="AM380" s="82"/>
      <c r="AN380" s="82"/>
    </row>
    <row r="381" spans="1:40" ht="15.6" x14ac:dyDescent="0.25">
      <c r="A381" s="227"/>
      <c r="B381" s="230"/>
      <c r="C381" s="227"/>
      <c r="D381" s="227"/>
      <c r="E381" s="227"/>
      <c r="F381" s="227"/>
      <c r="G381" s="227"/>
      <c r="H381" s="227"/>
      <c r="I381" s="231"/>
      <c r="J381" s="227"/>
      <c r="K381" s="271"/>
      <c r="L381" s="271"/>
      <c r="M381" s="271"/>
      <c r="N381" s="227"/>
      <c r="O381" s="272"/>
      <c r="P381" s="232"/>
      <c r="Q381" s="94" t="s">
        <v>130</v>
      </c>
      <c r="R381" s="81"/>
      <c r="S381" s="81"/>
      <c r="T381" s="81"/>
      <c r="U381" s="81"/>
      <c r="V381" s="81"/>
      <c r="W381" s="81"/>
      <c r="X381" s="81"/>
      <c r="Y381" s="82"/>
      <c r="Z381" s="82"/>
      <c r="AA381" s="82"/>
      <c r="AB381" s="82"/>
      <c r="AC381" s="82"/>
      <c r="AD381" s="82"/>
      <c r="AE381" s="82"/>
      <c r="AF381" s="82"/>
      <c r="AG381" s="82"/>
      <c r="AH381" s="82"/>
      <c r="AI381" s="82"/>
      <c r="AJ381" s="82"/>
      <c r="AK381" s="82"/>
      <c r="AL381" s="82"/>
      <c r="AM381" s="82"/>
      <c r="AN381" s="82"/>
    </row>
    <row r="382" spans="1:40" ht="15.6" x14ac:dyDescent="0.25">
      <c r="A382" s="227"/>
      <c r="B382" s="230"/>
      <c r="C382" s="227"/>
      <c r="D382" s="227"/>
      <c r="E382" s="227"/>
      <c r="F382" s="227"/>
      <c r="G382" s="227"/>
      <c r="H382" s="227"/>
      <c r="I382" s="231"/>
      <c r="J382" s="227"/>
      <c r="K382" s="271"/>
      <c r="L382" s="271"/>
      <c r="M382" s="271"/>
      <c r="N382" s="227"/>
      <c r="O382" s="272"/>
      <c r="P382" s="232"/>
      <c r="Q382" s="94" t="s">
        <v>130</v>
      </c>
      <c r="R382" s="81"/>
      <c r="S382" s="81"/>
      <c r="T382" s="81"/>
      <c r="U382" s="81"/>
      <c r="V382" s="81"/>
      <c r="W382" s="81"/>
      <c r="X382" s="81"/>
      <c r="Y382" s="82"/>
      <c r="Z382" s="82"/>
      <c r="AA382" s="82"/>
      <c r="AB382" s="82"/>
      <c r="AC382" s="82"/>
      <c r="AD382" s="82"/>
      <c r="AE382" s="82"/>
      <c r="AF382" s="82"/>
      <c r="AG382" s="82"/>
      <c r="AH382" s="82"/>
      <c r="AI382" s="82"/>
      <c r="AJ382" s="82"/>
      <c r="AK382" s="82"/>
      <c r="AL382" s="82"/>
      <c r="AM382" s="82"/>
      <c r="AN382" s="82"/>
    </row>
    <row r="383" spans="1:40" ht="15.6" x14ac:dyDescent="0.25">
      <c r="A383" s="227"/>
      <c r="B383" s="230"/>
      <c r="C383" s="227"/>
      <c r="D383" s="227"/>
      <c r="E383" s="227"/>
      <c r="F383" s="227"/>
      <c r="G383" s="227"/>
      <c r="H383" s="227"/>
      <c r="I383" s="231"/>
      <c r="J383" s="227"/>
      <c r="K383" s="271"/>
      <c r="L383" s="271"/>
      <c r="M383" s="271"/>
      <c r="N383" s="227"/>
      <c r="O383" s="272"/>
      <c r="P383" s="232"/>
      <c r="Q383" s="94" t="s">
        <v>130</v>
      </c>
      <c r="R383" s="81"/>
      <c r="S383" s="81"/>
      <c r="T383" s="81"/>
      <c r="U383" s="81"/>
      <c r="V383" s="81"/>
      <c r="W383" s="81"/>
      <c r="X383" s="81"/>
      <c r="Y383" s="82"/>
      <c r="Z383" s="82"/>
      <c r="AA383" s="82"/>
      <c r="AB383" s="82"/>
      <c r="AC383" s="82"/>
      <c r="AD383" s="82"/>
      <c r="AE383" s="82"/>
      <c r="AF383" s="82"/>
      <c r="AG383" s="82"/>
      <c r="AH383" s="82"/>
      <c r="AI383" s="82"/>
      <c r="AJ383" s="82"/>
      <c r="AK383" s="82"/>
      <c r="AL383" s="82"/>
      <c r="AM383" s="82"/>
      <c r="AN383" s="82"/>
    </row>
    <row r="384" spans="1:40" ht="15.6" x14ac:dyDescent="0.25">
      <c r="A384" s="227"/>
      <c r="B384" s="230"/>
      <c r="C384" s="227"/>
      <c r="D384" s="227"/>
      <c r="E384" s="227"/>
      <c r="F384" s="227"/>
      <c r="G384" s="227"/>
      <c r="H384" s="227"/>
      <c r="I384" s="231"/>
      <c r="J384" s="227"/>
      <c r="K384" s="271"/>
      <c r="L384" s="271"/>
      <c r="M384" s="271"/>
      <c r="N384" s="227"/>
      <c r="O384" s="272"/>
      <c r="P384" s="232"/>
      <c r="Q384" s="94" t="s">
        <v>130</v>
      </c>
      <c r="R384" s="81"/>
      <c r="S384" s="81"/>
      <c r="T384" s="81"/>
      <c r="U384" s="81"/>
      <c r="V384" s="81"/>
      <c r="W384" s="81"/>
      <c r="X384" s="81"/>
      <c r="Y384" s="82"/>
      <c r="Z384" s="82"/>
      <c r="AA384" s="82"/>
      <c r="AB384" s="82"/>
      <c r="AC384" s="82"/>
      <c r="AD384" s="82"/>
      <c r="AE384" s="82"/>
      <c r="AF384" s="82"/>
      <c r="AG384" s="82"/>
      <c r="AH384" s="82"/>
      <c r="AI384" s="82"/>
      <c r="AJ384" s="82"/>
      <c r="AK384" s="82"/>
      <c r="AL384" s="82"/>
      <c r="AM384" s="82"/>
      <c r="AN384" s="82"/>
    </row>
    <row r="385" spans="1:62" ht="15.6" x14ac:dyDescent="0.25">
      <c r="A385" s="227"/>
      <c r="B385" s="230"/>
      <c r="C385" s="227"/>
      <c r="D385" s="227"/>
      <c r="E385" s="227"/>
      <c r="F385" s="227"/>
      <c r="G385" s="227"/>
      <c r="H385" s="227"/>
      <c r="I385" s="231"/>
      <c r="J385" s="227"/>
      <c r="K385" s="271"/>
      <c r="L385" s="271"/>
      <c r="M385" s="271"/>
      <c r="N385" s="227"/>
      <c r="O385" s="272"/>
      <c r="P385" s="232"/>
      <c r="Q385" s="94" t="s">
        <v>130</v>
      </c>
      <c r="R385" s="81"/>
      <c r="S385" s="81"/>
      <c r="T385" s="81"/>
      <c r="U385" s="81"/>
      <c r="V385" s="81"/>
      <c r="W385" s="81"/>
      <c r="X385" s="81"/>
      <c r="Y385" s="82"/>
      <c r="Z385" s="82"/>
      <c r="AA385" s="82"/>
      <c r="AB385" s="82"/>
      <c r="AC385" s="82"/>
      <c r="AD385" s="82"/>
      <c r="AE385" s="82"/>
      <c r="AF385" s="82"/>
      <c r="AG385" s="82"/>
      <c r="AH385" s="82"/>
      <c r="AI385" s="82"/>
      <c r="AJ385" s="82"/>
      <c r="AK385" s="82"/>
      <c r="AL385" s="82"/>
      <c r="AM385" s="82"/>
      <c r="AN385" s="82"/>
    </row>
    <row r="386" spans="1:62" ht="15.6" x14ac:dyDescent="0.25">
      <c r="A386" s="227"/>
      <c r="B386" s="230"/>
      <c r="C386" s="227"/>
      <c r="D386" s="227"/>
      <c r="E386" s="227"/>
      <c r="F386" s="227"/>
      <c r="G386" s="227"/>
      <c r="H386" s="227"/>
      <c r="I386" s="231"/>
      <c r="J386" s="227"/>
      <c r="K386" s="271"/>
      <c r="L386" s="271"/>
      <c r="M386" s="271"/>
      <c r="N386" s="227"/>
      <c r="O386" s="272"/>
      <c r="P386" s="232"/>
      <c r="Q386" s="94" t="s">
        <v>130</v>
      </c>
      <c r="R386" s="81"/>
      <c r="S386" s="81"/>
      <c r="T386" s="81"/>
      <c r="U386" s="81"/>
      <c r="V386" s="81"/>
      <c r="W386" s="81"/>
      <c r="X386" s="81"/>
      <c r="Y386" s="82"/>
      <c r="Z386" s="82"/>
      <c r="AA386" s="82"/>
      <c r="AB386" s="82"/>
      <c r="AC386" s="82"/>
      <c r="AD386" s="82"/>
      <c r="AE386" s="82"/>
      <c r="AF386" s="82"/>
      <c r="AG386" s="82"/>
      <c r="AH386" s="82"/>
      <c r="AI386" s="82"/>
      <c r="AJ386" s="82"/>
      <c r="AK386" s="82"/>
      <c r="AL386" s="82"/>
      <c r="AM386" s="82"/>
      <c r="AN386" s="82"/>
    </row>
    <row r="387" spans="1:62" ht="15.6" x14ac:dyDescent="0.25">
      <c r="A387" s="227"/>
      <c r="B387" s="230"/>
      <c r="C387" s="227"/>
      <c r="D387" s="227"/>
      <c r="E387" s="227"/>
      <c r="F387" s="227"/>
      <c r="G387" s="227"/>
      <c r="H387" s="227"/>
      <c r="I387" s="231"/>
      <c r="J387" s="227"/>
      <c r="K387" s="271"/>
      <c r="L387" s="271"/>
      <c r="M387" s="271"/>
      <c r="N387" s="227"/>
      <c r="O387" s="272"/>
      <c r="P387" s="232"/>
      <c r="Q387" s="94" t="s">
        <v>130</v>
      </c>
      <c r="R387" s="81"/>
      <c r="S387" s="81"/>
      <c r="T387" s="81"/>
      <c r="U387" s="81"/>
      <c r="V387" s="81"/>
      <c r="W387" s="81"/>
      <c r="X387" s="81"/>
      <c r="Y387" s="82"/>
      <c r="Z387" s="82"/>
      <c r="AA387" s="82"/>
      <c r="AB387" s="82"/>
      <c r="AC387" s="82"/>
      <c r="AD387" s="82"/>
      <c r="AE387" s="82"/>
      <c r="AF387" s="82"/>
      <c r="AG387" s="82"/>
      <c r="AH387" s="82"/>
      <c r="AI387" s="82"/>
      <c r="AJ387" s="82"/>
      <c r="AK387" s="82"/>
      <c r="AL387" s="82"/>
      <c r="AM387" s="82"/>
      <c r="AN387" s="82"/>
    </row>
    <row r="388" spans="1:62" ht="15.6" x14ac:dyDescent="0.25">
      <c r="A388" s="227"/>
      <c r="B388" s="230"/>
      <c r="C388" s="227"/>
      <c r="D388" s="227"/>
      <c r="E388" s="227"/>
      <c r="F388" s="227"/>
      <c r="G388" s="227"/>
      <c r="H388" s="227"/>
      <c r="I388" s="231"/>
      <c r="J388" s="227"/>
      <c r="K388" s="271"/>
      <c r="L388" s="271"/>
      <c r="M388" s="271"/>
      <c r="N388" s="227"/>
      <c r="O388" s="272"/>
      <c r="P388" s="232"/>
      <c r="Q388" s="94" t="s">
        <v>130</v>
      </c>
      <c r="R388" s="81"/>
      <c r="S388" s="81"/>
      <c r="T388" s="81"/>
      <c r="U388" s="81"/>
      <c r="V388" s="81"/>
      <c r="W388" s="81"/>
      <c r="X388" s="81"/>
      <c r="Y388" s="82"/>
      <c r="Z388" s="82"/>
      <c r="AA388" s="82"/>
      <c r="AB388" s="82"/>
      <c r="AC388" s="82"/>
      <c r="AD388" s="82"/>
      <c r="AE388" s="82"/>
      <c r="AF388" s="82"/>
      <c r="AG388" s="82"/>
      <c r="AH388" s="82"/>
      <c r="AI388" s="82"/>
      <c r="AJ388" s="82"/>
      <c r="AK388" s="82"/>
      <c r="AL388" s="82"/>
      <c r="AM388" s="82"/>
      <c r="AN388" s="82"/>
    </row>
    <row r="389" spans="1:62" ht="15.6" x14ac:dyDescent="0.25">
      <c r="A389" s="227"/>
      <c r="B389" s="230"/>
      <c r="C389" s="227"/>
      <c r="D389" s="227"/>
      <c r="E389" s="227"/>
      <c r="F389" s="227"/>
      <c r="G389" s="227"/>
      <c r="H389" s="227"/>
      <c r="I389" s="231"/>
      <c r="J389" s="227"/>
      <c r="K389" s="271"/>
      <c r="L389" s="271"/>
      <c r="M389" s="271"/>
      <c r="N389" s="227"/>
      <c r="O389" s="272"/>
      <c r="P389" s="232"/>
      <c r="Q389" s="94" t="s">
        <v>130</v>
      </c>
      <c r="R389" s="81"/>
      <c r="S389" s="81"/>
      <c r="T389" s="81"/>
      <c r="U389" s="81"/>
      <c r="V389" s="81"/>
      <c r="W389" s="81"/>
      <c r="X389" s="81"/>
      <c r="Y389" s="82"/>
      <c r="Z389" s="82"/>
      <c r="AA389" s="82"/>
      <c r="AB389" s="82"/>
      <c r="AC389" s="82"/>
      <c r="AD389" s="82"/>
      <c r="AE389" s="82"/>
      <c r="AF389" s="82"/>
      <c r="AG389" s="82"/>
      <c r="AH389" s="82"/>
      <c r="AI389" s="82"/>
      <c r="AJ389" s="82"/>
      <c r="AK389" s="82"/>
      <c r="AL389" s="82"/>
      <c r="AM389" s="82"/>
      <c r="AN389" s="82"/>
    </row>
    <row r="390" spans="1:62" ht="27" customHeight="1" x14ac:dyDescent="0.25">
      <c r="A390" s="227"/>
      <c r="B390" s="311"/>
      <c r="C390" s="312"/>
      <c r="D390" s="312"/>
      <c r="E390" s="312"/>
      <c r="F390" s="312"/>
      <c r="G390" s="312"/>
      <c r="H390" s="312"/>
      <c r="I390" s="313"/>
      <c r="J390" s="312"/>
      <c r="K390" s="314"/>
      <c r="L390" s="314"/>
      <c r="M390" s="314"/>
      <c r="N390" s="312"/>
      <c r="O390" s="315"/>
      <c r="P390" s="316"/>
      <c r="Q390" s="94" t="s">
        <v>130</v>
      </c>
      <c r="R390" s="81"/>
      <c r="S390" s="81"/>
      <c r="T390" s="81"/>
      <c r="U390" s="81"/>
      <c r="V390" s="107"/>
      <c r="W390" s="107"/>
      <c r="X390" s="107"/>
      <c r="Y390" s="108"/>
      <c r="Z390" s="108"/>
      <c r="AA390" s="108"/>
      <c r="AB390" s="108"/>
      <c r="AC390" s="108"/>
      <c r="AD390" s="108"/>
      <c r="AE390" s="108"/>
      <c r="AF390" s="108"/>
      <c r="AG390" s="108"/>
      <c r="AH390" s="108"/>
      <c r="AI390" s="108"/>
      <c r="AJ390" s="108"/>
      <c r="AK390" s="108"/>
      <c r="AL390" s="108"/>
      <c r="AM390" s="108"/>
      <c r="AN390" s="108"/>
      <c r="AO390" s="108"/>
      <c r="AP390" s="108"/>
      <c r="AQ390" s="108"/>
      <c r="AR390" s="108"/>
      <c r="AS390" s="108"/>
      <c r="AT390" s="108"/>
      <c r="AU390" s="108"/>
      <c r="AV390" s="108"/>
      <c r="AW390" s="108"/>
      <c r="AX390" s="108"/>
      <c r="AY390" s="108"/>
      <c r="AZ390" s="108"/>
      <c r="BA390" s="108"/>
      <c r="BB390" s="108"/>
      <c r="BC390" s="108"/>
      <c r="BD390" s="108"/>
      <c r="BE390" s="108"/>
      <c r="BF390" s="108"/>
      <c r="BG390" s="108"/>
      <c r="BH390" s="108"/>
      <c r="BI390" s="108"/>
      <c r="BJ390" s="108"/>
    </row>
    <row r="391" spans="1:62" ht="27" customHeight="1" x14ac:dyDescent="0.25">
      <c r="A391" s="227"/>
      <c r="B391" s="311"/>
      <c r="C391" s="312"/>
      <c r="D391" s="312"/>
      <c r="E391" s="312"/>
      <c r="F391" s="312"/>
      <c r="G391" s="312"/>
      <c r="H391" s="312"/>
      <c r="I391" s="313"/>
      <c r="J391" s="312"/>
      <c r="K391" s="314"/>
      <c r="L391" s="314"/>
      <c r="M391" s="314"/>
      <c r="N391" s="312"/>
      <c r="O391" s="315"/>
      <c r="P391" s="316"/>
      <c r="Q391" s="94" t="s">
        <v>130</v>
      </c>
      <c r="R391" s="81"/>
      <c r="S391" s="81"/>
      <c r="T391" s="81"/>
      <c r="U391" s="81"/>
      <c r="V391" s="107"/>
      <c r="W391" s="107"/>
      <c r="X391" s="107"/>
      <c r="Y391" s="108"/>
      <c r="Z391" s="108"/>
      <c r="AA391" s="108"/>
      <c r="AB391" s="108"/>
      <c r="AC391" s="108"/>
      <c r="AD391" s="108"/>
      <c r="AE391" s="108"/>
      <c r="AF391" s="108"/>
      <c r="AG391" s="108"/>
      <c r="AH391" s="108"/>
      <c r="AI391" s="108"/>
      <c r="AJ391" s="10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row>
    <row r="392" spans="1:62" ht="15" x14ac:dyDescent="0.25">
      <c r="A392" s="227"/>
      <c r="B392" s="230" t="s">
        <v>32</v>
      </c>
      <c r="C392" s="227"/>
      <c r="D392" s="227"/>
      <c r="E392" s="227"/>
      <c r="F392" s="227"/>
      <c r="G392" s="227"/>
      <c r="H392" s="227"/>
      <c r="I392" s="231"/>
      <c r="J392" s="227"/>
      <c r="K392" s="227"/>
      <c r="L392" s="227"/>
      <c r="M392" s="227"/>
      <c r="N392" s="227"/>
      <c r="O392" s="227"/>
      <c r="P392" s="232"/>
      <c r="Q392" s="94" t="s">
        <v>130</v>
      </c>
      <c r="R392" s="81"/>
      <c r="S392" s="81"/>
      <c r="T392" s="81"/>
      <c r="U392" s="81"/>
      <c r="V392" s="81"/>
      <c r="W392" s="81"/>
      <c r="X392" s="81"/>
      <c r="Y392" s="82"/>
      <c r="Z392" s="82"/>
      <c r="AA392" s="82"/>
      <c r="AB392" s="82"/>
      <c r="AC392" s="82"/>
      <c r="AD392" s="82"/>
      <c r="AE392" s="82"/>
      <c r="AF392" s="82"/>
      <c r="AG392" s="82"/>
      <c r="AH392" s="82"/>
      <c r="AI392" s="82"/>
      <c r="AJ392" s="82"/>
      <c r="AK392" s="82"/>
      <c r="AL392" s="82"/>
      <c r="AM392" s="82"/>
      <c r="AN392" s="82"/>
    </row>
    <row r="393" spans="1:62" ht="15" x14ac:dyDescent="0.25">
      <c r="A393" s="227"/>
      <c r="B393" s="230"/>
      <c r="C393" s="227"/>
      <c r="D393" s="227"/>
      <c r="E393" s="227"/>
      <c r="F393" s="227"/>
      <c r="G393" s="227"/>
      <c r="H393" s="227"/>
      <c r="I393" s="227"/>
      <c r="J393" s="227"/>
      <c r="K393" s="227"/>
      <c r="L393" s="227"/>
      <c r="M393" s="227"/>
      <c r="N393" s="227"/>
      <c r="O393" s="227"/>
      <c r="P393" s="227"/>
      <c r="Q393" s="94" t="s">
        <v>130</v>
      </c>
      <c r="R393" s="82"/>
      <c r="S393" s="82"/>
      <c r="T393" s="81"/>
      <c r="U393" s="82"/>
      <c r="V393" s="82"/>
      <c r="W393" s="82"/>
      <c r="X393" s="82"/>
      <c r="Y393" s="82"/>
      <c r="Z393" s="82"/>
      <c r="AA393" s="82"/>
      <c r="AB393" s="82"/>
      <c r="AC393" s="82"/>
      <c r="AD393" s="82"/>
      <c r="AE393" s="82"/>
      <c r="AF393" s="82"/>
      <c r="AG393" s="82"/>
      <c r="AH393" s="82"/>
      <c r="AI393" s="82"/>
      <c r="AJ393" s="82"/>
      <c r="AK393" s="82"/>
      <c r="AL393" s="82"/>
      <c r="AM393" s="82"/>
      <c r="AN393" s="82"/>
    </row>
    <row r="394" spans="1:62" ht="15.6" x14ac:dyDescent="0.25">
      <c r="A394" s="227"/>
      <c r="B394" s="230" t="s">
        <v>32</v>
      </c>
      <c r="C394" s="227"/>
      <c r="D394" s="243"/>
      <c r="E394" s="243"/>
      <c r="F394" s="243"/>
      <c r="G394" s="243"/>
      <c r="H394" s="243"/>
      <c r="I394" s="258"/>
      <c r="J394" s="243"/>
      <c r="K394" s="243"/>
      <c r="L394" s="243"/>
      <c r="M394" s="243"/>
      <c r="N394" s="243"/>
      <c r="O394" s="272"/>
      <c r="P394" s="232"/>
      <c r="Q394" s="94" t="s">
        <v>130</v>
      </c>
      <c r="R394" s="81"/>
      <c r="S394" s="81"/>
      <c r="T394" s="81"/>
      <c r="U394" s="81"/>
      <c r="V394" s="81"/>
      <c r="W394" s="81"/>
      <c r="X394" s="81"/>
      <c r="Y394" s="82"/>
      <c r="Z394" s="82"/>
      <c r="AA394" s="82"/>
      <c r="AB394" s="82"/>
      <c r="AC394" s="82"/>
      <c r="AD394" s="82"/>
      <c r="AE394" s="82"/>
      <c r="AF394" s="82"/>
      <c r="AG394" s="82"/>
      <c r="AH394" s="82"/>
      <c r="AI394" s="82"/>
      <c r="AJ394" s="82"/>
      <c r="AK394" s="82"/>
      <c r="AL394" s="82"/>
      <c r="AM394" s="82"/>
      <c r="AN394" s="82"/>
    </row>
    <row r="395" spans="1:62" ht="15" x14ac:dyDescent="0.25">
      <c r="A395" s="227"/>
      <c r="B395" s="230" t="s">
        <v>32</v>
      </c>
      <c r="C395" s="227"/>
      <c r="D395" s="227"/>
      <c r="E395" s="227"/>
      <c r="F395" s="227"/>
      <c r="G395" s="227"/>
      <c r="H395" s="227"/>
      <c r="I395" s="227"/>
      <c r="J395" s="227"/>
      <c r="K395" s="227"/>
      <c r="L395" s="227"/>
      <c r="M395" s="227"/>
      <c r="N395" s="227"/>
      <c r="O395" s="227"/>
      <c r="P395" s="232"/>
      <c r="Q395" s="94" t="s">
        <v>130</v>
      </c>
      <c r="R395" s="81"/>
      <c r="S395" s="81"/>
      <c r="T395" s="81"/>
      <c r="U395" s="81"/>
      <c r="V395" s="81"/>
      <c r="W395" s="81"/>
      <c r="X395" s="81"/>
      <c r="Y395" s="82"/>
      <c r="Z395" s="82"/>
      <c r="AA395" s="82"/>
      <c r="AB395" s="82"/>
      <c r="AC395" s="82"/>
      <c r="AD395" s="82"/>
      <c r="AE395" s="82"/>
      <c r="AF395" s="82"/>
      <c r="AG395" s="82"/>
      <c r="AH395" s="82"/>
      <c r="AI395" s="82"/>
      <c r="AJ395" s="82"/>
      <c r="AK395" s="82"/>
      <c r="AL395" s="82"/>
      <c r="AM395" s="82"/>
      <c r="AN395" s="82"/>
    </row>
    <row r="396" spans="1:62" ht="15.6" x14ac:dyDescent="0.25">
      <c r="A396" s="227"/>
      <c r="B396" s="230"/>
      <c r="C396" s="227"/>
      <c r="D396" s="77"/>
      <c r="E396" s="77"/>
      <c r="F396" s="77"/>
      <c r="G396" s="77"/>
      <c r="H396" s="77"/>
      <c r="I396" s="77"/>
      <c r="J396" s="77"/>
      <c r="K396" s="77"/>
      <c r="L396" s="77"/>
      <c r="M396" s="227"/>
      <c r="N396" s="227"/>
      <c r="O396" s="227"/>
      <c r="P396" s="232"/>
      <c r="Q396" s="94" t="s">
        <v>130</v>
      </c>
      <c r="R396" s="81"/>
      <c r="S396" s="81"/>
      <c r="T396" s="81"/>
      <c r="U396" s="81"/>
      <c r="V396" s="81"/>
      <c r="W396" s="81"/>
      <c r="X396" s="81"/>
      <c r="Y396" s="82"/>
      <c r="Z396" s="82"/>
      <c r="AA396" s="82"/>
      <c r="AB396" s="82"/>
      <c r="AC396" s="82"/>
      <c r="AD396" s="82"/>
      <c r="AE396" s="82"/>
      <c r="AF396" s="82"/>
      <c r="AG396" s="82"/>
      <c r="AH396" s="82"/>
      <c r="AI396" s="82"/>
      <c r="AJ396" s="82"/>
      <c r="AK396" s="82"/>
      <c r="AL396" s="82"/>
      <c r="AM396" s="82"/>
      <c r="AN396" s="82"/>
    </row>
    <row r="397" spans="1:62" ht="22.5" customHeight="1" x14ac:dyDescent="0.25">
      <c r="A397" s="227"/>
      <c r="B397" s="230" t="s">
        <v>32</v>
      </c>
      <c r="C397" s="227"/>
      <c r="D397" s="227"/>
      <c r="E397" s="227"/>
      <c r="F397" s="227"/>
      <c r="G397" s="227"/>
      <c r="H397" s="227"/>
      <c r="I397" s="227"/>
      <c r="J397" s="227"/>
      <c r="K397" s="227"/>
      <c r="L397" s="227"/>
      <c r="M397" s="227"/>
      <c r="N397" s="227"/>
      <c r="O397" s="227"/>
      <c r="P397" s="232"/>
      <c r="Q397" s="94" t="s">
        <v>130</v>
      </c>
      <c r="R397" s="81"/>
      <c r="S397" s="81"/>
      <c r="T397" s="81"/>
      <c r="U397" s="81"/>
      <c r="V397" s="81"/>
      <c r="W397" s="81"/>
      <c r="X397" s="81"/>
      <c r="Y397" s="82"/>
      <c r="Z397" s="82"/>
      <c r="AA397" s="82"/>
      <c r="AB397" s="82"/>
      <c r="AC397" s="82"/>
      <c r="AD397" s="82"/>
      <c r="AE397" s="82"/>
      <c r="AF397" s="82"/>
      <c r="AG397" s="82"/>
      <c r="AH397" s="82"/>
      <c r="AI397" s="82"/>
      <c r="AJ397" s="82"/>
      <c r="AK397" s="82"/>
      <c r="AL397" s="82"/>
      <c r="AM397" s="82"/>
      <c r="AN397" s="82"/>
    </row>
    <row r="398" spans="1:62" ht="22.5" customHeight="1" x14ac:dyDescent="0.25">
      <c r="A398" s="227"/>
      <c r="B398" s="230" t="s">
        <v>32</v>
      </c>
      <c r="C398" s="227"/>
      <c r="D398" s="227"/>
      <c r="E398" s="227"/>
      <c r="F398" s="227"/>
      <c r="G398" s="227"/>
      <c r="H398" s="227"/>
      <c r="I398" s="227"/>
      <c r="J398" s="227"/>
      <c r="K398" s="227"/>
      <c r="L398" s="227"/>
      <c r="M398" s="227"/>
      <c r="N398" s="227"/>
      <c r="O398" s="227"/>
      <c r="P398" s="232"/>
      <c r="Q398" s="94" t="s">
        <v>130</v>
      </c>
      <c r="R398" s="81"/>
      <c r="S398" s="81"/>
      <c r="T398" s="81"/>
      <c r="U398" s="81"/>
      <c r="V398" s="81"/>
      <c r="W398" s="81"/>
      <c r="X398" s="81"/>
      <c r="Y398" s="82"/>
      <c r="Z398" s="82"/>
      <c r="AA398" s="82"/>
      <c r="AB398" s="82"/>
      <c r="AC398" s="82"/>
      <c r="AD398" s="82"/>
      <c r="AE398" s="82"/>
      <c r="AF398" s="82"/>
      <c r="AG398" s="82"/>
      <c r="AH398" s="82"/>
      <c r="AI398" s="82"/>
      <c r="AJ398" s="82"/>
      <c r="AK398" s="82"/>
      <c r="AL398" s="82"/>
      <c r="AM398" s="82"/>
      <c r="AN398" s="82"/>
    </row>
    <row r="399" spans="1:62" ht="22.5" customHeight="1" x14ac:dyDescent="0.25">
      <c r="A399" s="227"/>
      <c r="B399" s="230" t="s">
        <v>32</v>
      </c>
      <c r="C399" s="227"/>
      <c r="D399" s="227"/>
      <c r="E399" s="227"/>
      <c r="F399" s="227"/>
      <c r="G399" s="227"/>
      <c r="H399" s="227"/>
      <c r="I399" s="227"/>
      <c r="J399" s="227"/>
      <c r="K399" s="227"/>
      <c r="L399" s="227"/>
      <c r="M399" s="227"/>
      <c r="N399" s="227"/>
      <c r="O399" s="227"/>
      <c r="P399" s="232"/>
      <c r="Q399" s="94" t="s">
        <v>130</v>
      </c>
      <c r="R399" s="81"/>
      <c r="S399" s="81"/>
      <c r="T399" s="81"/>
      <c r="U399" s="81"/>
      <c r="V399" s="81"/>
      <c r="W399" s="81"/>
      <c r="X399" s="81"/>
      <c r="Y399" s="82"/>
      <c r="Z399" s="82"/>
      <c r="AA399" s="82"/>
      <c r="AB399" s="82"/>
      <c r="AC399" s="82"/>
      <c r="AD399" s="82"/>
      <c r="AE399" s="82"/>
      <c r="AF399" s="82"/>
      <c r="AG399" s="82"/>
      <c r="AH399" s="82"/>
      <c r="AI399" s="82"/>
      <c r="AJ399" s="82"/>
      <c r="AK399" s="82"/>
      <c r="AL399" s="82"/>
      <c r="AM399" s="82"/>
      <c r="AN399" s="82"/>
    </row>
    <row r="400" spans="1:62" ht="22.5" customHeight="1" x14ac:dyDescent="0.25">
      <c r="A400" s="227"/>
      <c r="B400" s="230" t="s">
        <v>32</v>
      </c>
      <c r="C400" s="227"/>
      <c r="D400" s="227"/>
      <c r="E400" s="227"/>
      <c r="F400" s="227"/>
      <c r="G400" s="227"/>
      <c r="H400" s="227"/>
      <c r="I400" s="227"/>
      <c r="J400" s="227"/>
      <c r="K400" s="227"/>
      <c r="L400" s="227"/>
      <c r="M400" s="227"/>
      <c r="N400" s="227"/>
      <c r="O400" s="227"/>
      <c r="P400" s="232"/>
      <c r="Q400" s="94" t="s">
        <v>130</v>
      </c>
      <c r="R400" s="81"/>
      <c r="S400" s="81"/>
      <c r="T400" s="81"/>
      <c r="U400" s="81"/>
      <c r="V400" s="81"/>
      <c r="W400" s="81"/>
      <c r="X400" s="81"/>
      <c r="Y400" s="82"/>
      <c r="Z400" s="82"/>
      <c r="AA400" s="82"/>
      <c r="AB400" s="82"/>
      <c r="AC400" s="82"/>
      <c r="AD400" s="82"/>
      <c r="AE400" s="82"/>
      <c r="AF400" s="82"/>
      <c r="AG400" s="82"/>
      <c r="AH400" s="82"/>
      <c r="AI400" s="82"/>
      <c r="AJ400" s="82"/>
      <c r="AK400" s="82"/>
      <c r="AL400" s="82"/>
      <c r="AM400" s="82"/>
      <c r="AN400" s="82"/>
    </row>
    <row r="401" spans="1:40" ht="15" x14ac:dyDescent="0.25">
      <c r="A401" s="227"/>
      <c r="B401" s="230" t="s">
        <v>32</v>
      </c>
      <c r="C401" s="227"/>
      <c r="D401" s="227"/>
      <c r="E401" s="227"/>
      <c r="F401" s="227"/>
      <c r="G401" s="227"/>
      <c r="H401" s="227"/>
      <c r="I401" s="227"/>
      <c r="J401" s="227"/>
      <c r="K401" s="227"/>
      <c r="L401" s="227"/>
      <c r="M401" s="227"/>
      <c r="N401" s="227"/>
      <c r="O401" s="227"/>
      <c r="P401" s="232"/>
      <c r="Q401" s="94" t="s">
        <v>130</v>
      </c>
      <c r="R401" s="81"/>
      <c r="S401" s="81"/>
      <c r="T401" s="81"/>
      <c r="U401" s="81"/>
      <c r="V401" s="81"/>
      <c r="W401" s="81"/>
      <c r="X401" s="81"/>
      <c r="Y401" s="82"/>
      <c r="Z401" s="82"/>
      <c r="AA401" s="82"/>
      <c r="AB401" s="82"/>
      <c r="AC401" s="82"/>
      <c r="AD401" s="82"/>
      <c r="AE401" s="82"/>
      <c r="AF401" s="82"/>
      <c r="AG401" s="82"/>
      <c r="AH401" s="82"/>
      <c r="AI401" s="82"/>
      <c r="AJ401" s="82"/>
      <c r="AK401" s="82"/>
      <c r="AL401" s="82"/>
      <c r="AM401" s="82"/>
      <c r="AN401" s="82"/>
    </row>
    <row r="402" spans="1:40" ht="25.5" customHeight="1" x14ac:dyDescent="0.25">
      <c r="A402" s="227"/>
      <c r="B402" s="230"/>
      <c r="C402" s="227"/>
      <c r="D402" s="227"/>
      <c r="E402" s="227"/>
      <c r="F402" s="227"/>
      <c r="G402" s="227"/>
      <c r="H402" s="227"/>
      <c r="I402" s="229"/>
      <c r="J402" s="227"/>
      <c r="K402" s="227"/>
      <c r="L402" s="227"/>
      <c r="M402" s="227"/>
      <c r="N402" s="227"/>
      <c r="O402" s="227"/>
      <c r="P402" s="232"/>
      <c r="Q402" s="94" t="s">
        <v>130</v>
      </c>
      <c r="R402" s="81"/>
      <c r="S402" s="81"/>
      <c r="T402" s="81"/>
      <c r="U402" s="81"/>
      <c r="V402" s="81"/>
      <c r="W402" s="81"/>
      <c r="X402" s="81"/>
      <c r="Y402" s="82"/>
      <c r="Z402" s="82"/>
      <c r="AA402" s="82"/>
      <c r="AB402" s="82"/>
      <c r="AC402" s="82"/>
      <c r="AD402" s="82"/>
      <c r="AE402" s="82"/>
      <c r="AF402" s="82"/>
      <c r="AG402" s="82"/>
      <c r="AH402" s="82"/>
      <c r="AI402" s="82"/>
      <c r="AJ402" s="82"/>
      <c r="AK402" s="82"/>
      <c r="AL402" s="82"/>
      <c r="AM402" s="82"/>
      <c r="AN402" s="82"/>
    </row>
    <row r="403" spans="1:40" ht="15" hidden="1" x14ac:dyDescent="0.25">
      <c r="A403" s="227"/>
      <c r="B403" s="230"/>
      <c r="C403" s="227"/>
      <c r="D403" s="227"/>
      <c r="E403" s="227"/>
      <c r="F403" s="227"/>
      <c r="G403" s="227"/>
      <c r="H403" s="227"/>
      <c r="I403" s="231"/>
      <c r="J403" s="227"/>
      <c r="K403" s="227"/>
      <c r="L403" s="227"/>
      <c r="M403" s="227"/>
      <c r="N403" s="227"/>
      <c r="O403" s="227"/>
      <c r="P403" s="232"/>
      <c r="R403" s="86"/>
      <c r="S403" s="86"/>
      <c r="T403" s="86"/>
      <c r="U403" s="86"/>
      <c r="V403" s="86"/>
      <c r="W403" s="86"/>
      <c r="X403" s="86"/>
    </row>
    <row r="404" spans="1:40" ht="15" hidden="1" x14ac:dyDescent="0.25">
      <c r="A404" s="227"/>
      <c r="B404" s="230"/>
      <c r="C404" s="227"/>
      <c r="D404" s="227"/>
      <c r="E404" s="227"/>
      <c r="F404" s="227"/>
      <c r="G404" s="227"/>
      <c r="H404" s="227"/>
      <c r="I404" s="231"/>
      <c r="J404" s="227"/>
      <c r="K404" s="227"/>
      <c r="L404" s="227"/>
      <c r="M404" s="227"/>
      <c r="N404" s="227"/>
      <c r="O404" s="227"/>
      <c r="P404" s="232"/>
      <c r="R404" s="86"/>
      <c r="S404" s="86"/>
      <c r="T404" s="86"/>
      <c r="U404" s="86"/>
      <c r="V404" s="86"/>
      <c r="W404" s="86"/>
      <c r="X404" s="86"/>
    </row>
    <row r="405" spans="1:40" ht="15" hidden="1" x14ac:dyDescent="0.25">
      <c r="A405" s="227"/>
      <c r="B405" s="230"/>
      <c r="C405" s="227"/>
      <c r="D405" s="227"/>
      <c r="E405" s="227"/>
      <c r="F405" s="227"/>
      <c r="G405" s="227"/>
      <c r="H405" s="227"/>
      <c r="I405" s="231"/>
      <c r="J405" s="227"/>
      <c r="K405" s="227"/>
      <c r="L405" s="227"/>
      <c r="M405" s="227"/>
      <c r="N405" s="227"/>
      <c r="O405" s="227"/>
      <c r="P405" s="232"/>
      <c r="R405" s="86"/>
      <c r="S405" s="86"/>
      <c r="T405" s="86"/>
      <c r="U405" s="86"/>
      <c r="V405" s="86"/>
      <c r="W405" s="86"/>
      <c r="X405" s="86"/>
    </row>
    <row r="406" spans="1:40" ht="15" hidden="1" x14ac:dyDescent="0.25">
      <c r="A406" s="227"/>
      <c r="B406" s="230"/>
      <c r="C406" s="227"/>
      <c r="D406" s="227"/>
      <c r="E406" s="227"/>
      <c r="F406" s="227"/>
      <c r="G406" s="227"/>
      <c r="H406" s="227"/>
      <c r="I406" s="231"/>
      <c r="J406" s="227"/>
      <c r="K406" s="227"/>
      <c r="L406" s="227"/>
      <c r="M406" s="227"/>
      <c r="N406" s="227"/>
      <c r="O406" s="227"/>
      <c r="P406" s="232"/>
    </row>
    <row r="407" spans="1:40" ht="15" hidden="1" x14ac:dyDescent="0.25">
      <c r="A407" s="227"/>
      <c r="B407" s="230"/>
      <c r="C407" s="227"/>
      <c r="D407" s="227"/>
      <c r="E407" s="227"/>
      <c r="F407" s="227"/>
      <c r="G407" s="227"/>
      <c r="H407" s="227"/>
      <c r="I407" s="231"/>
      <c r="J407" s="227"/>
      <c r="K407" s="227"/>
      <c r="L407" s="227"/>
      <c r="M407" s="227"/>
      <c r="N407" s="227"/>
      <c r="O407" s="227"/>
      <c r="P407" s="232"/>
    </row>
    <row r="408" spans="1:40" ht="15" hidden="1" x14ac:dyDescent="0.25">
      <c r="A408" s="227"/>
      <c r="B408" s="230"/>
      <c r="C408" s="227"/>
      <c r="D408" s="227"/>
      <c r="E408" s="227"/>
      <c r="F408" s="227"/>
      <c r="G408" s="227"/>
      <c r="H408" s="227"/>
      <c r="I408" s="231"/>
      <c r="J408" s="227"/>
      <c r="K408" s="227"/>
      <c r="L408" s="227"/>
      <c r="M408" s="227"/>
      <c r="N408" s="227"/>
      <c r="O408" s="227"/>
      <c r="P408" s="232"/>
    </row>
    <row r="409" spans="1:40" ht="15" hidden="1" x14ac:dyDescent="0.25">
      <c r="A409" s="227"/>
      <c r="B409" s="230"/>
      <c r="C409" s="227"/>
      <c r="D409" s="227"/>
      <c r="E409" s="227"/>
      <c r="F409" s="227"/>
      <c r="G409" s="227"/>
      <c r="H409" s="227"/>
      <c r="I409" s="231"/>
      <c r="J409" s="227"/>
      <c r="K409" s="227"/>
      <c r="L409" s="227"/>
      <c r="M409" s="227"/>
      <c r="N409" s="227"/>
      <c r="O409" s="227"/>
      <c r="P409" s="232"/>
    </row>
    <row r="410" spans="1:40" ht="15" hidden="1" x14ac:dyDescent="0.25">
      <c r="A410" s="227"/>
      <c r="B410" s="230"/>
      <c r="C410" s="227"/>
      <c r="D410" s="227"/>
      <c r="E410" s="227"/>
      <c r="F410" s="227"/>
      <c r="G410" s="227"/>
      <c r="H410" s="227"/>
      <c r="I410" s="231"/>
      <c r="J410" s="227"/>
      <c r="K410" s="227"/>
      <c r="L410" s="227"/>
      <c r="M410" s="227"/>
      <c r="N410" s="227"/>
      <c r="O410" s="227"/>
      <c r="P410" s="232"/>
    </row>
    <row r="411" spans="1:40" ht="15" hidden="1" x14ac:dyDescent="0.25">
      <c r="A411" s="227"/>
      <c r="B411" s="230"/>
      <c r="C411" s="227"/>
      <c r="D411" s="227"/>
      <c r="E411" s="227"/>
      <c r="F411" s="227"/>
      <c r="G411" s="227"/>
      <c r="H411" s="227"/>
      <c r="I411" s="231"/>
      <c r="J411" s="227"/>
      <c r="K411" s="227"/>
      <c r="L411" s="227"/>
      <c r="M411" s="227"/>
      <c r="N411" s="227"/>
      <c r="O411" s="227"/>
      <c r="P411" s="232"/>
    </row>
    <row r="412" spans="1:40" ht="15" hidden="1" x14ac:dyDescent="0.25">
      <c r="A412" s="227"/>
      <c r="B412" s="230"/>
      <c r="C412" s="227"/>
      <c r="D412" s="227"/>
      <c r="E412" s="227"/>
      <c r="F412" s="227"/>
      <c r="G412" s="227"/>
      <c r="H412" s="227"/>
      <c r="I412" s="231"/>
      <c r="J412" s="227"/>
      <c r="K412" s="227"/>
      <c r="L412" s="227"/>
      <c r="M412" s="227"/>
      <c r="N412" s="227"/>
      <c r="O412" s="227"/>
      <c r="P412" s="232"/>
    </row>
    <row r="413" spans="1:40" ht="15" hidden="1" x14ac:dyDescent="0.25">
      <c r="A413" s="227"/>
      <c r="B413" s="230"/>
      <c r="C413" s="227"/>
      <c r="D413" s="227"/>
      <c r="E413" s="227"/>
      <c r="F413" s="227"/>
      <c r="G413" s="227"/>
      <c r="H413" s="227"/>
      <c r="I413" s="231"/>
      <c r="J413" s="227"/>
      <c r="K413" s="227"/>
      <c r="L413" s="227"/>
      <c r="M413" s="227"/>
      <c r="N413" s="227"/>
      <c r="O413" s="227"/>
      <c r="P413" s="232"/>
    </row>
    <row r="414" spans="1:40" ht="15" hidden="1" x14ac:dyDescent="0.25">
      <c r="A414" s="227"/>
      <c r="B414" s="230"/>
      <c r="C414" s="227"/>
      <c r="D414" s="227"/>
      <c r="E414" s="227"/>
      <c r="F414" s="227"/>
      <c r="G414" s="227"/>
      <c r="H414" s="227"/>
      <c r="I414" s="231"/>
      <c r="J414" s="227"/>
      <c r="K414" s="227"/>
      <c r="L414" s="227"/>
      <c r="M414" s="227"/>
      <c r="N414" s="227"/>
      <c r="O414" s="227"/>
      <c r="P414" s="232"/>
    </row>
    <row r="415" spans="1:40" ht="15" hidden="1" x14ac:dyDescent="0.25">
      <c r="A415" s="227"/>
      <c r="B415" s="230"/>
      <c r="C415" s="227"/>
      <c r="D415" s="227"/>
      <c r="E415" s="227"/>
      <c r="F415" s="227"/>
      <c r="G415" s="227"/>
      <c r="H415" s="227"/>
      <c r="I415" s="231"/>
      <c r="J415" s="227"/>
      <c r="K415" s="227"/>
      <c r="L415" s="227"/>
      <c r="M415" s="227"/>
      <c r="N415" s="227"/>
      <c r="O415" s="227"/>
      <c r="P415" s="232"/>
    </row>
    <row r="416" spans="1:40" ht="15" hidden="1" x14ac:dyDescent="0.25">
      <c r="A416" s="227"/>
      <c r="B416" s="230"/>
      <c r="C416" s="227"/>
      <c r="D416" s="227"/>
      <c r="E416" s="227"/>
      <c r="F416" s="227"/>
      <c r="G416" s="227"/>
      <c r="H416" s="227"/>
      <c r="I416" s="231"/>
      <c r="J416" s="227"/>
      <c r="K416" s="227"/>
      <c r="L416" s="227"/>
      <c r="M416" s="227"/>
      <c r="N416" s="227"/>
      <c r="O416" s="227"/>
      <c r="P416" s="232"/>
    </row>
    <row r="417" spans="1:16" ht="15" hidden="1" x14ac:dyDescent="0.25">
      <c r="A417" s="227"/>
      <c r="B417" s="230"/>
      <c r="C417" s="227"/>
      <c r="D417" s="227"/>
      <c r="E417" s="227"/>
      <c r="F417" s="227"/>
      <c r="G417" s="227"/>
      <c r="H417" s="227"/>
      <c r="I417" s="231"/>
      <c r="J417" s="227"/>
      <c r="K417" s="227"/>
      <c r="L417" s="227"/>
      <c r="M417" s="227"/>
      <c r="N417" s="227"/>
      <c r="O417" s="227"/>
      <c r="P417" s="232"/>
    </row>
    <row r="418" spans="1:16" x14ac:dyDescent="0.25">
      <c r="A418" s="69"/>
      <c r="B418" s="69"/>
      <c r="C418" s="69"/>
      <c r="D418" s="69"/>
      <c r="E418" s="69"/>
      <c r="F418" s="69"/>
      <c r="G418" s="69"/>
      <c r="H418" s="69"/>
      <c r="I418" s="69"/>
      <c r="J418" s="69"/>
      <c r="K418" s="69"/>
      <c r="L418" s="69"/>
      <c r="M418" s="69"/>
      <c r="N418" s="69"/>
      <c r="O418" s="69"/>
      <c r="P418" s="69"/>
    </row>
    <row r="419" spans="1:16" x14ac:dyDescent="0.25">
      <c r="A419" s="69"/>
      <c r="B419" s="69"/>
      <c r="C419" s="69"/>
      <c r="D419" s="69"/>
      <c r="E419" s="69"/>
      <c r="F419" s="69"/>
      <c r="G419" s="69"/>
      <c r="H419" s="69"/>
      <c r="I419" s="69"/>
      <c r="J419" s="69"/>
      <c r="K419" s="69"/>
      <c r="L419" s="69"/>
      <c r="M419" s="69"/>
      <c r="N419" s="69"/>
      <c r="O419" s="69"/>
      <c r="P419" s="69"/>
    </row>
    <row r="420" spans="1:16" x14ac:dyDescent="0.25">
      <c r="A420" s="69"/>
      <c r="B420" s="69"/>
      <c r="C420" s="69"/>
      <c r="D420" s="69"/>
      <c r="E420" s="69"/>
      <c r="F420" s="69"/>
      <c r="G420" s="69"/>
      <c r="H420" s="69"/>
      <c r="I420" s="69"/>
      <c r="J420" s="69"/>
      <c r="K420" s="69"/>
      <c r="L420" s="69"/>
      <c r="M420" s="69"/>
      <c r="N420" s="69"/>
      <c r="O420" s="69"/>
      <c r="P420" s="69"/>
    </row>
    <row r="421" spans="1:16" x14ac:dyDescent="0.25">
      <c r="A421" s="69"/>
      <c r="B421" s="69"/>
      <c r="C421" s="69"/>
      <c r="D421" s="69"/>
      <c r="E421" s="69"/>
      <c r="F421" s="69"/>
      <c r="G421" s="69"/>
      <c r="H421" s="69"/>
      <c r="I421" s="69"/>
      <c r="J421" s="69"/>
      <c r="K421" s="69"/>
      <c r="L421" s="69"/>
      <c r="M421" s="69"/>
      <c r="N421" s="69"/>
      <c r="O421" s="69"/>
      <c r="P421" s="69"/>
    </row>
    <row r="422" spans="1:16" x14ac:dyDescent="0.25">
      <c r="A422" s="69"/>
      <c r="B422" s="69"/>
      <c r="C422" s="69"/>
      <c r="D422" s="69"/>
      <c r="E422" s="69"/>
      <c r="F422" s="69"/>
      <c r="G422" s="69"/>
      <c r="H422" s="69"/>
      <c r="I422" s="69"/>
      <c r="J422" s="69"/>
      <c r="K422" s="69"/>
      <c r="L422" s="69"/>
      <c r="M422" s="69"/>
      <c r="N422" s="69"/>
      <c r="O422" s="69"/>
      <c r="P422" s="69"/>
    </row>
    <row r="423" spans="1:16" x14ac:dyDescent="0.25">
      <c r="A423" s="69"/>
      <c r="B423" s="69"/>
      <c r="C423" s="69"/>
      <c r="D423" s="69"/>
      <c r="E423" s="69"/>
      <c r="F423" s="69"/>
      <c r="G423" s="69"/>
      <c r="H423" s="69"/>
      <c r="I423" s="69"/>
      <c r="J423" s="69"/>
      <c r="K423" s="69"/>
      <c r="L423" s="69"/>
      <c r="M423" s="69"/>
      <c r="N423" s="69"/>
      <c r="O423" s="69"/>
      <c r="P423" s="69"/>
    </row>
    <row r="424" spans="1:16" x14ac:dyDescent="0.25">
      <c r="A424" s="69"/>
      <c r="B424" s="69"/>
      <c r="C424" s="69"/>
      <c r="D424" s="69"/>
      <c r="E424" s="69"/>
      <c r="F424" s="69"/>
      <c r="G424" s="69"/>
      <c r="H424" s="69"/>
      <c r="I424" s="69"/>
      <c r="J424" s="69"/>
      <c r="K424" s="69"/>
      <c r="L424" s="69"/>
      <c r="M424" s="69"/>
      <c r="N424" s="69"/>
      <c r="O424" s="69"/>
      <c r="P424" s="69"/>
    </row>
    <row r="425" spans="1:16" x14ac:dyDescent="0.25">
      <c r="A425" s="69"/>
      <c r="B425" s="69"/>
      <c r="C425" s="69"/>
      <c r="D425" s="69"/>
      <c r="E425" s="69"/>
      <c r="F425" s="69"/>
      <c r="G425" s="69"/>
      <c r="H425" s="69"/>
      <c r="I425" s="69"/>
      <c r="J425" s="69"/>
      <c r="K425" s="69"/>
      <c r="L425" s="69"/>
      <c r="M425" s="69"/>
      <c r="N425" s="69"/>
      <c r="O425" s="69"/>
      <c r="P425" s="69"/>
    </row>
    <row r="426" spans="1:16" x14ac:dyDescent="0.25">
      <c r="A426" s="69"/>
      <c r="B426" s="69"/>
      <c r="C426" s="69"/>
      <c r="D426" s="69"/>
      <c r="E426" s="69"/>
      <c r="F426" s="69"/>
      <c r="G426" s="69"/>
      <c r="H426" s="69"/>
      <c r="I426" s="69"/>
      <c r="J426" s="69"/>
      <c r="K426" s="69"/>
      <c r="L426" s="69"/>
      <c r="M426" s="69"/>
      <c r="N426" s="69"/>
      <c r="O426" s="69"/>
      <c r="P426" s="69"/>
    </row>
    <row r="427" spans="1:16" x14ac:dyDescent="0.25">
      <c r="A427" s="69"/>
      <c r="B427" s="69"/>
      <c r="C427" s="69"/>
      <c r="D427" s="69"/>
      <c r="E427" s="69"/>
      <c r="F427" s="69"/>
      <c r="G427" s="69"/>
      <c r="H427" s="69"/>
      <c r="I427" s="69"/>
      <c r="J427" s="69"/>
      <c r="K427" s="69"/>
      <c r="L427" s="69"/>
      <c r="M427" s="69"/>
      <c r="N427" s="69"/>
      <c r="O427" s="69"/>
      <c r="P427" s="69"/>
    </row>
    <row r="428" spans="1:16" x14ac:dyDescent="0.25">
      <c r="A428" s="69"/>
      <c r="B428" s="69"/>
      <c r="C428" s="69"/>
      <c r="D428" s="69"/>
      <c r="E428" s="69"/>
      <c r="F428" s="69"/>
      <c r="G428" s="69"/>
      <c r="H428" s="69"/>
      <c r="I428" s="69"/>
      <c r="J428" s="69"/>
      <c r="K428" s="69"/>
      <c r="L428" s="69"/>
      <c r="M428" s="69"/>
      <c r="N428" s="69"/>
      <c r="O428" s="69"/>
      <c r="P428" s="69"/>
    </row>
    <row r="429" spans="1:16" x14ac:dyDescent="0.25">
      <c r="A429" s="69"/>
      <c r="B429" s="69"/>
      <c r="C429" s="69"/>
      <c r="D429" s="69"/>
      <c r="E429" s="69"/>
      <c r="F429" s="69"/>
      <c r="G429" s="69"/>
      <c r="H429" s="69"/>
      <c r="I429" s="69"/>
      <c r="J429" s="69"/>
      <c r="K429" s="69"/>
      <c r="L429" s="69"/>
      <c r="M429" s="69"/>
      <c r="N429" s="69"/>
      <c r="O429" s="69"/>
      <c r="P429" s="69"/>
    </row>
    <row r="430" spans="1:16" x14ac:dyDescent="0.25">
      <c r="A430" s="69"/>
      <c r="B430" s="69"/>
      <c r="C430" s="69"/>
      <c r="D430" s="69"/>
      <c r="E430" s="69"/>
      <c r="F430" s="69"/>
      <c r="G430" s="69"/>
      <c r="H430" s="69"/>
      <c r="I430" s="69"/>
      <c r="J430" s="69"/>
      <c r="K430" s="69"/>
      <c r="L430" s="69"/>
      <c r="M430" s="69"/>
      <c r="N430" s="69"/>
      <c r="O430" s="69"/>
      <c r="P430" s="69"/>
    </row>
    <row r="431" spans="1:16" x14ac:dyDescent="0.25">
      <c r="A431" s="69"/>
      <c r="B431" s="69"/>
      <c r="C431" s="69"/>
      <c r="D431" s="69"/>
      <c r="E431" s="69"/>
      <c r="F431" s="69"/>
      <c r="G431" s="69"/>
      <c r="H431" s="69"/>
      <c r="I431" s="69"/>
      <c r="J431" s="69"/>
      <c r="K431" s="69"/>
      <c r="L431" s="69"/>
      <c r="M431" s="69"/>
      <c r="N431" s="69"/>
      <c r="O431" s="69"/>
      <c r="P431" s="69"/>
    </row>
    <row r="432" spans="1:16" x14ac:dyDescent="0.25">
      <c r="A432" s="69"/>
      <c r="B432" s="69"/>
      <c r="C432" s="69"/>
      <c r="D432" s="69"/>
      <c r="E432" s="69"/>
      <c r="F432" s="69"/>
      <c r="G432" s="69"/>
      <c r="H432" s="69"/>
      <c r="I432" s="69"/>
      <c r="J432" s="69"/>
      <c r="K432" s="69"/>
      <c r="L432" s="69"/>
      <c r="M432" s="69"/>
      <c r="N432" s="69"/>
      <c r="O432" s="69"/>
      <c r="P432" s="69"/>
    </row>
    <row r="433" spans="1:16" x14ac:dyDescent="0.25">
      <c r="A433" s="69"/>
      <c r="B433" s="69"/>
      <c r="C433" s="69"/>
      <c r="D433" s="69"/>
      <c r="E433" s="69"/>
      <c r="F433" s="69"/>
      <c r="G433" s="69"/>
      <c r="H433" s="69"/>
      <c r="I433" s="69"/>
      <c r="J433" s="69"/>
      <c r="K433" s="69"/>
      <c r="L433" s="69"/>
      <c r="M433" s="69"/>
      <c r="N433" s="69"/>
      <c r="O433" s="69"/>
      <c r="P433" s="69"/>
    </row>
    <row r="434" spans="1:16" x14ac:dyDescent="0.25">
      <c r="A434" s="69"/>
      <c r="B434" s="69"/>
      <c r="C434" s="69"/>
      <c r="D434" s="69"/>
      <c r="E434" s="69"/>
      <c r="F434" s="69"/>
      <c r="G434" s="69"/>
      <c r="H434" s="69"/>
      <c r="I434" s="69"/>
      <c r="J434" s="69"/>
      <c r="K434" s="69"/>
      <c r="L434" s="69"/>
      <c r="M434" s="69"/>
      <c r="N434" s="69"/>
      <c r="O434" s="69"/>
      <c r="P434" s="69"/>
    </row>
    <row r="435" spans="1:16" x14ac:dyDescent="0.25">
      <c r="A435" s="69"/>
      <c r="B435" s="69"/>
      <c r="C435" s="69"/>
      <c r="D435" s="69"/>
      <c r="E435" s="69"/>
      <c r="F435" s="69"/>
      <c r="G435" s="69"/>
      <c r="H435" s="69"/>
      <c r="I435" s="69"/>
      <c r="J435" s="69"/>
      <c r="K435" s="69"/>
      <c r="L435" s="69"/>
      <c r="M435" s="69"/>
      <c r="N435" s="69"/>
      <c r="O435" s="69"/>
      <c r="P435" s="69"/>
    </row>
    <row r="436" spans="1:16" x14ac:dyDescent="0.25">
      <c r="A436" s="69"/>
      <c r="B436" s="69"/>
      <c r="C436" s="69"/>
      <c r="D436" s="69"/>
      <c r="E436" s="69"/>
      <c r="F436" s="69"/>
      <c r="G436" s="69"/>
      <c r="H436" s="69"/>
      <c r="I436" s="69"/>
      <c r="J436" s="69"/>
      <c r="K436" s="69"/>
      <c r="L436" s="69"/>
      <c r="M436" s="69"/>
      <c r="N436" s="69"/>
      <c r="O436" s="69"/>
      <c r="P436" s="69"/>
    </row>
    <row r="437" spans="1:16" x14ac:dyDescent="0.25">
      <c r="A437" s="69"/>
      <c r="B437" s="69"/>
      <c r="C437" s="69"/>
      <c r="D437" s="69"/>
      <c r="E437" s="69"/>
      <c r="F437" s="69"/>
      <c r="G437" s="69"/>
      <c r="H437" s="69"/>
      <c r="I437" s="69"/>
      <c r="J437" s="69"/>
      <c r="K437" s="69"/>
      <c r="L437" s="69"/>
      <c r="M437" s="69"/>
      <c r="N437" s="69"/>
      <c r="O437" s="69"/>
      <c r="P437" s="69"/>
    </row>
    <row r="438" spans="1:16" x14ac:dyDescent="0.25">
      <c r="A438" s="69"/>
      <c r="B438" s="69"/>
      <c r="C438" s="69"/>
      <c r="D438" s="69"/>
      <c r="E438" s="69"/>
      <c r="F438" s="69"/>
      <c r="G438" s="69"/>
      <c r="H438" s="69"/>
      <c r="I438" s="69"/>
      <c r="J438" s="69"/>
      <c r="K438" s="69"/>
      <c r="L438" s="69"/>
      <c r="M438" s="69"/>
      <c r="N438" s="69"/>
      <c r="O438" s="69"/>
      <c r="P438" s="69"/>
    </row>
    <row r="439" spans="1:16" x14ac:dyDescent="0.25">
      <c r="A439" s="69"/>
      <c r="B439" s="69"/>
      <c r="C439" s="69"/>
      <c r="D439" s="69"/>
      <c r="E439" s="69"/>
      <c r="F439" s="69"/>
      <c r="G439" s="69"/>
      <c r="H439" s="69"/>
      <c r="I439" s="69"/>
      <c r="J439" s="69"/>
      <c r="K439" s="69"/>
      <c r="L439" s="69"/>
      <c r="M439" s="69"/>
      <c r="N439" s="69"/>
      <c r="O439" s="69"/>
      <c r="P439" s="69"/>
    </row>
    <row r="440" spans="1:16" x14ac:dyDescent="0.25">
      <c r="A440" s="69"/>
      <c r="B440" s="69"/>
      <c r="C440" s="69"/>
      <c r="D440" s="69"/>
      <c r="E440" s="69"/>
      <c r="F440" s="69"/>
      <c r="G440" s="69"/>
      <c r="H440" s="69"/>
      <c r="I440" s="69"/>
      <c r="J440" s="69"/>
      <c r="K440" s="69"/>
      <c r="L440" s="69"/>
      <c r="M440" s="69"/>
      <c r="N440" s="69"/>
      <c r="O440" s="69"/>
      <c r="P440" s="69"/>
    </row>
    <row r="441" spans="1:16" x14ac:dyDescent="0.25">
      <c r="A441" s="69"/>
      <c r="B441" s="69"/>
      <c r="C441" s="69"/>
      <c r="D441" s="69"/>
      <c r="E441" s="69"/>
      <c r="F441" s="69"/>
      <c r="G441" s="69"/>
      <c r="H441" s="69"/>
      <c r="I441" s="69"/>
      <c r="J441" s="69"/>
      <c r="K441" s="69"/>
      <c r="L441" s="69"/>
      <c r="M441" s="69"/>
      <c r="N441" s="69"/>
      <c r="O441" s="69"/>
      <c r="P441" s="69"/>
    </row>
    <row r="442" spans="1:16" x14ac:dyDescent="0.25">
      <c r="A442" s="69"/>
      <c r="B442" s="69"/>
      <c r="C442" s="69"/>
      <c r="D442" s="69"/>
      <c r="E442" s="69"/>
      <c r="F442" s="69"/>
      <c r="G442" s="69"/>
      <c r="H442" s="69"/>
      <c r="I442" s="69"/>
      <c r="J442" s="69"/>
      <c r="K442" s="69"/>
      <c r="L442" s="69"/>
      <c r="M442" s="69"/>
      <c r="N442" s="69"/>
      <c r="O442" s="69"/>
      <c r="P442" s="69"/>
    </row>
    <row r="443" spans="1:16" x14ac:dyDescent="0.25">
      <c r="A443" s="69"/>
      <c r="B443" s="69"/>
      <c r="C443" s="69"/>
      <c r="D443" s="69"/>
      <c r="E443" s="69"/>
      <c r="F443" s="69"/>
      <c r="G443" s="69"/>
      <c r="H443" s="69"/>
      <c r="I443" s="69"/>
      <c r="J443" s="69"/>
      <c r="K443" s="69"/>
      <c r="L443" s="69"/>
      <c r="M443" s="69"/>
      <c r="N443" s="69"/>
      <c r="O443" s="69"/>
      <c r="P443" s="69"/>
    </row>
    <row r="444" spans="1:16" x14ac:dyDescent="0.25">
      <c r="A444" s="69"/>
      <c r="B444" s="69"/>
      <c r="C444" s="69"/>
      <c r="D444" s="69"/>
      <c r="E444" s="69"/>
      <c r="F444" s="69"/>
      <c r="G444" s="69"/>
      <c r="H444" s="69"/>
      <c r="I444" s="69"/>
      <c r="J444" s="69"/>
      <c r="K444" s="69"/>
      <c r="L444" s="69"/>
      <c r="M444" s="69"/>
      <c r="N444" s="69"/>
      <c r="O444" s="69"/>
      <c r="P444" s="69"/>
    </row>
    <row r="445" spans="1:16" x14ac:dyDescent="0.25">
      <c r="A445" s="69"/>
      <c r="B445" s="69"/>
      <c r="C445" s="69"/>
      <c r="D445" s="69"/>
      <c r="E445" s="69"/>
      <c r="F445" s="69"/>
      <c r="G445" s="69"/>
      <c r="H445" s="69"/>
      <c r="I445" s="69"/>
      <c r="J445" s="69"/>
      <c r="K445" s="69"/>
      <c r="L445" s="69"/>
      <c r="M445" s="69"/>
      <c r="N445" s="69"/>
      <c r="O445" s="69"/>
      <c r="P445" s="69"/>
    </row>
    <row r="446" spans="1:16" x14ac:dyDescent="0.25">
      <c r="A446" s="69"/>
      <c r="B446" s="69"/>
      <c r="C446" s="69"/>
      <c r="D446" s="69"/>
      <c r="E446" s="69"/>
      <c r="F446" s="69"/>
      <c r="G446" s="69"/>
      <c r="H446" s="69"/>
      <c r="I446" s="69"/>
      <c r="J446" s="69"/>
      <c r="K446" s="69"/>
      <c r="L446" s="69"/>
      <c r="M446" s="69"/>
      <c r="N446" s="69"/>
      <c r="O446" s="69"/>
      <c r="P446" s="69"/>
    </row>
    <row r="447" spans="1:16" x14ac:dyDescent="0.25">
      <c r="A447" s="69"/>
      <c r="B447" s="69"/>
      <c r="C447" s="69"/>
      <c r="D447" s="69"/>
      <c r="E447" s="69"/>
      <c r="F447" s="69"/>
      <c r="G447" s="69"/>
      <c r="H447" s="69"/>
      <c r="I447" s="69"/>
      <c r="J447" s="69"/>
      <c r="K447" s="69"/>
      <c r="L447" s="69"/>
      <c r="M447" s="69"/>
      <c r="N447" s="69"/>
      <c r="O447" s="69"/>
      <c r="P447" s="69"/>
    </row>
    <row r="448" spans="1:16" x14ac:dyDescent="0.25">
      <c r="A448" s="69"/>
      <c r="B448" s="69"/>
      <c r="C448" s="69"/>
      <c r="D448" s="69"/>
      <c r="E448" s="69"/>
      <c r="F448" s="69"/>
      <c r="G448" s="69"/>
      <c r="H448" s="69"/>
      <c r="I448" s="69"/>
      <c r="J448" s="69"/>
      <c r="K448" s="69"/>
      <c r="L448" s="69"/>
      <c r="M448" s="69"/>
      <c r="N448" s="69"/>
      <c r="O448" s="69"/>
      <c r="P448" s="69"/>
    </row>
    <row r="449" spans="1:16" x14ac:dyDescent="0.25">
      <c r="A449" s="69"/>
      <c r="B449" s="69"/>
      <c r="C449" s="69"/>
      <c r="D449" s="69"/>
      <c r="E449" s="69"/>
      <c r="F449" s="69"/>
      <c r="G449" s="69"/>
      <c r="H449" s="69"/>
      <c r="I449" s="69"/>
      <c r="J449" s="69"/>
      <c r="K449" s="69"/>
      <c r="L449" s="69"/>
      <c r="M449" s="69"/>
      <c r="N449" s="69"/>
      <c r="O449" s="69"/>
      <c r="P449" s="69"/>
    </row>
    <row r="450" spans="1:16" x14ac:dyDescent="0.25">
      <c r="A450" s="69"/>
      <c r="B450" s="69"/>
      <c r="C450" s="69"/>
      <c r="D450" s="69"/>
      <c r="E450" s="69"/>
      <c r="F450" s="69"/>
      <c r="G450" s="69"/>
      <c r="H450" s="69"/>
      <c r="I450" s="69"/>
      <c r="J450" s="69"/>
      <c r="K450" s="69"/>
      <c r="L450" s="69"/>
      <c r="M450" s="69"/>
      <c r="N450" s="69"/>
      <c r="O450" s="69"/>
      <c r="P450" s="69"/>
    </row>
    <row r="451" spans="1:16" x14ac:dyDescent="0.25">
      <c r="A451" s="69"/>
      <c r="B451" s="69"/>
      <c r="C451" s="69"/>
      <c r="D451" s="69"/>
      <c r="E451" s="69"/>
      <c r="F451" s="69"/>
      <c r="G451" s="69"/>
      <c r="H451" s="69"/>
      <c r="I451" s="69"/>
      <c r="J451" s="69"/>
      <c r="K451" s="69"/>
      <c r="L451" s="69"/>
      <c r="M451" s="69"/>
      <c r="N451" s="69"/>
      <c r="O451" s="69"/>
      <c r="P451" s="69"/>
    </row>
    <row r="452" spans="1:16" x14ac:dyDescent="0.25">
      <c r="A452" s="69"/>
      <c r="B452" s="69"/>
      <c r="C452" s="69"/>
      <c r="D452" s="69"/>
      <c r="E452" s="69"/>
      <c r="F452" s="69"/>
      <c r="G452" s="69"/>
      <c r="H452" s="69"/>
      <c r="I452" s="69"/>
      <c r="J452" s="69"/>
      <c r="K452" s="69"/>
      <c r="L452" s="69"/>
      <c r="M452" s="69"/>
      <c r="N452" s="69"/>
      <c r="O452" s="69"/>
      <c r="P452" s="69"/>
    </row>
    <row r="453" spans="1:16" x14ac:dyDescent="0.25">
      <c r="A453" s="69"/>
      <c r="B453" s="69"/>
      <c r="C453" s="69"/>
      <c r="D453" s="69"/>
      <c r="E453" s="69"/>
      <c r="F453" s="69"/>
      <c r="G453" s="69"/>
      <c r="H453" s="69"/>
      <c r="I453" s="69"/>
      <c r="J453" s="69"/>
      <c r="K453" s="69"/>
      <c r="L453" s="69"/>
      <c r="M453" s="69"/>
      <c r="N453" s="69"/>
      <c r="O453" s="69"/>
      <c r="P453" s="69"/>
    </row>
    <row r="454" spans="1:16" x14ac:dyDescent="0.25">
      <c r="A454" s="69"/>
      <c r="B454" s="69"/>
      <c r="C454" s="69"/>
      <c r="D454" s="69"/>
      <c r="E454" s="69"/>
      <c r="F454" s="69"/>
      <c r="G454" s="69"/>
      <c r="H454" s="69"/>
      <c r="I454" s="69"/>
      <c r="J454" s="69"/>
      <c r="K454" s="69"/>
      <c r="L454" s="69"/>
      <c r="M454" s="69"/>
      <c r="N454" s="69"/>
      <c r="O454" s="69"/>
      <c r="P454" s="69"/>
    </row>
    <row r="455" spans="1:16" x14ac:dyDescent="0.25">
      <c r="A455" s="69"/>
      <c r="B455" s="69"/>
      <c r="C455" s="69"/>
      <c r="D455" s="69"/>
      <c r="E455" s="69"/>
      <c r="F455" s="69"/>
      <c r="G455" s="69"/>
      <c r="H455" s="69"/>
      <c r="I455" s="69"/>
      <c r="J455" s="69"/>
      <c r="K455" s="69"/>
      <c r="L455" s="69"/>
      <c r="M455" s="69"/>
      <c r="N455" s="69"/>
      <c r="O455" s="69"/>
      <c r="P455" s="69"/>
    </row>
    <row r="456" spans="1:16" x14ac:dyDescent="0.25">
      <c r="A456" s="69"/>
      <c r="B456" s="69"/>
      <c r="C456" s="69"/>
      <c r="D456" s="69"/>
      <c r="E456" s="69"/>
      <c r="F456" s="69"/>
      <c r="G456" s="69"/>
      <c r="H456" s="69"/>
      <c r="I456" s="69"/>
      <c r="J456" s="69"/>
      <c r="K456" s="69"/>
      <c r="L456" s="69"/>
      <c r="M456" s="69"/>
      <c r="N456" s="69"/>
      <c r="O456" s="69"/>
      <c r="P456" s="69"/>
    </row>
    <row r="457" spans="1:16" x14ac:dyDescent="0.25">
      <c r="A457" s="69"/>
      <c r="B457" s="69"/>
      <c r="C457" s="69"/>
      <c r="D457" s="69"/>
      <c r="E457" s="69"/>
      <c r="F457" s="69"/>
      <c r="G457" s="69"/>
      <c r="H457" s="69"/>
      <c r="I457" s="69"/>
      <c r="J457" s="69"/>
      <c r="K457" s="69"/>
      <c r="L457" s="69"/>
      <c r="M457" s="69"/>
      <c r="N457" s="69"/>
      <c r="O457" s="69"/>
      <c r="P457" s="69"/>
    </row>
    <row r="458" spans="1:16" x14ac:dyDescent="0.25">
      <c r="A458" s="69"/>
      <c r="B458" s="69"/>
      <c r="C458" s="69"/>
      <c r="D458" s="69"/>
      <c r="E458" s="69"/>
      <c r="F458" s="69"/>
      <c r="G458" s="69"/>
      <c r="H458" s="69"/>
      <c r="I458" s="69"/>
      <c r="J458" s="69"/>
      <c r="K458" s="69"/>
      <c r="L458" s="69"/>
      <c r="M458" s="69"/>
      <c r="N458" s="69"/>
      <c r="O458" s="69"/>
      <c r="P458" s="69"/>
    </row>
    <row r="459" spans="1:16" x14ac:dyDescent="0.25">
      <c r="A459" s="69"/>
      <c r="B459" s="69"/>
      <c r="C459" s="69"/>
      <c r="D459" s="69"/>
      <c r="E459" s="69"/>
      <c r="F459" s="69"/>
      <c r="G459" s="69"/>
      <c r="H459" s="69"/>
      <c r="I459" s="69"/>
      <c r="J459" s="69"/>
      <c r="K459" s="69"/>
      <c r="L459" s="69"/>
      <c r="M459" s="69"/>
      <c r="N459" s="69"/>
      <c r="O459" s="69"/>
      <c r="P459" s="69"/>
    </row>
    <row r="460" spans="1:16" x14ac:dyDescent="0.25">
      <c r="A460" s="69"/>
      <c r="B460" s="69"/>
      <c r="C460" s="69"/>
      <c r="D460" s="69"/>
      <c r="E460" s="69"/>
      <c r="F460" s="69"/>
      <c r="G460" s="69"/>
      <c r="H460" s="69"/>
      <c r="I460" s="69"/>
      <c r="J460" s="69"/>
      <c r="K460" s="69"/>
      <c r="L460" s="69"/>
      <c r="M460" s="69"/>
      <c r="N460" s="69"/>
      <c r="O460" s="69"/>
      <c r="P460" s="69"/>
    </row>
    <row r="461" spans="1:16" x14ac:dyDescent="0.25">
      <c r="A461" s="69"/>
      <c r="B461" s="69"/>
      <c r="C461" s="69"/>
      <c r="D461" s="69"/>
      <c r="E461" s="69"/>
      <c r="F461" s="69"/>
      <c r="G461" s="69"/>
      <c r="H461" s="69"/>
      <c r="I461" s="69"/>
      <c r="J461" s="69"/>
      <c r="K461" s="69"/>
      <c r="L461" s="69"/>
      <c r="M461" s="69"/>
      <c r="N461" s="69"/>
      <c r="O461" s="69"/>
      <c r="P461" s="69"/>
    </row>
    <row r="462" spans="1:16" x14ac:dyDescent="0.25">
      <c r="A462" s="69"/>
      <c r="B462" s="69"/>
      <c r="C462" s="69"/>
      <c r="D462" s="69"/>
      <c r="E462" s="69"/>
      <c r="F462" s="69"/>
      <c r="G462" s="69"/>
      <c r="H462" s="69"/>
      <c r="I462" s="69"/>
      <c r="J462" s="69"/>
      <c r="K462" s="69"/>
      <c r="L462" s="69"/>
      <c r="M462" s="69"/>
      <c r="N462" s="69"/>
      <c r="O462" s="69"/>
      <c r="P462" s="69"/>
    </row>
    <row r="463" spans="1:16" x14ac:dyDescent="0.25">
      <c r="A463" s="69"/>
      <c r="B463" s="69"/>
      <c r="C463" s="69"/>
      <c r="D463" s="69"/>
      <c r="E463" s="69"/>
      <c r="F463" s="69"/>
      <c r="G463" s="69"/>
      <c r="H463" s="69"/>
      <c r="I463" s="69"/>
      <c r="J463" s="69"/>
      <c r="K463" s="69"/>
      <c r="L463" s="69"/>
      <c r="M463" s="69"/>
      <c r="N463" s="69"/>
      <c r="O463" s="69"/>
      <c r="P463" s="69"/>
    </row>
    <row r="464" spans="1:16" x14ac:dyDescent="0.25">
      <c r="A464" s="69"/>
      <c r="B464" s="69"/>
      <c r="C464" s="69"/>
      <c r="D464" s="69"/>
      <c r="E464" s="69"/>
      <c r="F464" s="69"/>
      <c r="G464" s="69"/>
      <c r="H464" s="69"/>
      <c r="I464" s="69"/>
      <c r="J464" s="69"/>
      <c r="K464" s="69"/>
      <c r="L464" s="69"/>
      <c r="M464" s="69"/>
      <c r="N464" s="69"/>
      <c r="O464" s="69"/>
      <c r="P464" s="69"/>
    </row>
    <row r="465" spans="1:16" x14ac:dyDescent="0.25">
      <c r="A465" s="69"/>
      <c r="B465" s="69"/>
      <c r="C465" s="69"/>
      <c r="D465" s="69"/>
      <c r="E465" s="69"/>
      <c r="F465" s="69"/>
      <c r="G465" s="69"/>
      <c r="H465" s="69"/>
      <c r="I465" s="69"/>
      <c r="J465" s="69"/>
      <c r="K465" s="69"/>
      <c r="L465" s="69"/>
      <c r="M465" s="69"/>
      <c r="N465" s="69"/>
      <c r="O465" s="69"/>
      <c r="P465" s="69"/>
    </row>
    <row r="466" spans="1:16" x14ac:dyDescent="0.25">
      <c r="A466" s="69"/>
      <c r="B466" s="69"/>
      <c r="C466" s="69"/>
      <c r="D466" s="69"/>
      <c r="E466" s="69"/>
      <c r="F466" s="69"/>
      <c r="G466" s="69"/>
      <c r="H466" s="69"/>
      <c r="I466" s="69"/>
      <c r="J466" s="69"/>
      <c r="K466" s="69"/>
      <c r="L466" s="69"/>
      <c r="M466" s="69"/>
      <c r="N466" s="69"/>
      <c r="O466" s="69"/>
      <c r="P466" s="69"/>
    </row>
    <row r="467" spans="1:16" x14ac:dyDescent="0.25">
      <c r="A467" s="69"/>
      <c r="B467" s="69"/>
      <c r="C467" s="69"/>
      <c r="D467" s="69"/>
      <c r="E467" s="69"/>
      <c r="F467" s="69"/>
      <c r="G467" s="69"/>
      <c r="H467" s="69"/>
      <c r="I467" s="69"/>
      <c r="J467" s="69"/>
      <c r="K467" s="69"/>
      <c r="L467" s="69"/>
      <c r="M467" s="69"/>
      <c r="N467" s="69"/>
      <c r="O467" s="69"/>
      <c r="P467" s="69"/>
    </row>
    <row r="468" spans="1:16" x14ac:dyDescent="0.25">
      <c r="A468" s="69"/>
      <c r="B468" s="69"/>
      <c r="C468" s="69"/>
      <c r="D468" s="69"/>
      <c r="E468" s="69"/>
      <c r="F468" s="69"/>
      <c r="G468" s="69"/>
      <c r="H468" s="69"/>
      <c r="I468" s="69"/>
      <c r="J468" s="69"/>
      <c r="K468" s="69"/>
      <c r="L468" s="69"/>
      <c r="M468" s="69"/>
      <c r="N468" s="69"/>
      <c r="O468" s="69"/>
      <c r="P468" s="69"/>
    </row>
    <row r="469" spans="1:16" x14ac:dyDescent="0.25">
      <c r="A469" s="69"/>
      <c r="B469" s="69"/>
      <c r="C469" s="69"/>
      <c r="D469" s="69"/>
      <c r="E469" s="69"/>
      <c r="F469" s="69"/>
      <c r="G469" s="69"/>
      <c r="H469" s="69"/>
      <c r="I469" s="69"/>
      <c r="J469" s="69"/>
      <c r="K469" s="69"/>
      <c r="L469" s="69"/>
      <c r="M469" s="69"/>
      <c r="N469" s="69"/>
      <c r="O469" s="69"/>
      <c r="P469" s="69"/>
    </row>
    <row r="470" spans="1:16" x14ac:dyDescent="0.25">
      <c r="A470" s="69"/>
      <c r="B470" s="69"/>
      <c r="C470" s="69"/>
      <c r="D470" s="69"/>
      <c r="E470" s="69"/>
      <c r="F470" s="69"/>
      <c r="G470" s="69"/>
      <c r="H470" s="69"/>
      <c r="I470" s="69"/>
      <c r="J470" s="69"/>
      <c r="K470" s="69"/>
      <c r="L470" s="69"/>
      <c r="M470" s="69"/>
      <c r="N470" s="69"/>
      <c r="O470" s="69"/>
      <c r="P470" s="69"/>
    </row>
    <row r="471" spans="1:16" x14ac:dyDescent="0.25">
      <c r="A471" s="69"/>
      <c r="B471" s="69"/>
      <c r="C471" s="69"/>
      <c r="D471" s="69"/>
      <c r="E471" s="69"/>
      <c r="F471" s="69"/>
      <c r="G471" s="69"/>
      <c r="H471" s="69"/>
      <c r="I471" s="69"/>
      <c r="J471" s="69"/>
      <c r="K471" s="69"/>
      <c r="L471" s="69"/>
      <c r="M471" s="69"/>
      <c r="N471" s="69"/>
      <c r="O471" s="69"/>
      <c r="P471" s="69"/>
    </row>
    <row r="472" spans="1:16" x14ac:dyDescent="0.25">
      <c r="A472" s="69"/>
      <c r="B472" s="69"/>
      <c r="C472" s="69"/>
      <c r="D472" s="69"/>
      <c r="E472" s="69"/>
      <c r="F472" s="69"/>
      <c r="G472" s="69"/>
      <c r="H472" s="69"/>
      <c r="I472" s="69"/>
      <c r="J472" s="69"/>
      <c r="K472" s="69"/>
      <c r="L472" s="69"/>
      <c r="M472" s="69"/>
      <c r="N472" s="69"/>
      <c r="O472" s="69"/>
      <c r="P472" s="69"/>
    </row>
    <row r="473" spans="1:16" x14ac:dyDescent="0.25">
      <c r="A473" s="69"/>
      <c r="B473" s="69"/>
      <c r="C473" s="69"/>
      <c r="D473" s="69"/>
      <c r="E473" s="69"/>
      <c r="F473" s="69"/>
      <c r="G473" s="69"/>
      <c r="H473" s="69"/>
      <c r="I473" s="69"/>
      <c r="J473" s="69"/>
      <c r="K473" s="69"/>
      <c r="L473" s="69"/>
      <c r="M473" s="69"/>
      <c r="N473" s="69"/>
      <c r="O473" s="69"/>
      <c r="P473" s="69"/>
    </row>
    <row r="474" spans="1:16" x14ac:dyDescent="0.25">
      <c r="A474" s="69"/>
      <c r="B474" s="69"/>
      <c r="C474" s="69"/>
      <c r="D474" s="69"/>
      <c r="E474" s="69"/>
      <c r="F474" s="69"/>
      <c r="G474" s="69"/>
      <c r="H474" s="69"/>
      <c r="I474" s="69"/>
      <c r="J474" s="69"/>
      <c r="K474" s="69"/>
      <c r="L474" s="69"/>
      <c r="M474" s="69"/>
      <c r="N474" s="69"/>
      <c r="O474" s="69"/>
      <c r="P474" s="69"/>
    </row>
    <row r="475" spans="1:16" x14ac:dyDescent="0.25">
      <c r="A475" s="69"/>
      <c r="B475" s="69"/>
      <c r="C475" s="69"/>
      <c r="D475" s="69"/>
      <c r="E475" s="69"/>
      <c r="F475" s="69"/>
      <c r="G475" s="69"/>
      <c r="H475" s="69"/>
      <c r="I475" s="69"/>
      <c r="J475" s="69"/>
      <c r="K475" s="69"/>
      <c r="L475" s="69"/>
      <c r="M475" s="69"/>
      <c r="N475" s="69"/>
      <c r="O475" s="69"/>
      <c r="P475" s="69"/>
    </row>
    <row r="476" spans="1:16" x14ac:dyDescent="0.25">
      <c r="A476" s="69"/>
      <c r="B476" s="69"/>
      <c r="C476" s="69"/>
      <c r="D476" s="69"/>
      <c r="E476" s="69"/>
      <c r="F476" s="69"/>
      <c r="G476" s="69"/>
      <c r="H476" s="69"/>
      <c r="I476" s="69"/>
      <c r="J476" s="69"/>
      <c r="K476" s="69"/>
      <c r="L476" s="69"/>
      <c r="M476" s="69"/>
      <c r="N476" s="69"/>
      <c r="O476" s="69"/>
      <c r="P476" s="69"/>
    </row>
    <row r="477" spans="1:16" x14ac:dyDescent="0.25">
      <c r="A477" s="69"/>
      <c r="B477" s="69"/>
      <c r="C477" s="69"/>
      <c r="D477" s="69"/>
      <c r="E477" s="69"/>
      <c r="F477" s="69"/>
      <c r="G477" s="69"/>
      <c r="H477" s="69"/>
      <c r="I477" s="69"/>
      <c r="J477" s="69"/>
      <c r="K477" s="69"/>
      <c r="L477" s="69"/>
      <c r="M477" s="69"/>
      <c r="N477" s="69"/>
      <c r="O477" s="69"/>
      <c r="P477" s="69"/>
    </row>
    <row r="478" spans="1:16" x14ac:dyDescent="0.25">
      <c r="A478" s="69"/>
      <c r="B478" s="69"/>
      <c r="C478" s="69"/>
      <c r="D478" s="69"/>
      <c r="E478" s="69"/>
      <c r="F478" s="69"/>
      <c r="G478" s="69"/>
      <c r="H478" s="69"/>
      <c r="I478" s="69"/>
      <c r="J478" s="69"/>
      <c r="K478" s="69"/>
      <c r="L478" s="69"/>
      <c r="M478" s="69"/>
      <c r="N478" s="69"/>
      <c r="O478" s="69"/>
      <c r="P478" s="69"/>
    </row>
    <row r="479" spans="1:16" x14ac:dyDescent="0.25">
      <c r="A479" s="69"/>
      <c r="B479" s="69"/>
      <c r="C479" s="69"/>
      <c r="D479" s="69"/>
      <c r="E479" s="69"/>
      <c r="F479" s="69"/>
      <c r="G479" s="69"/>
      <c r="H479" s="69"/>
      <c r="I479" s="69"/>
      <c r="J479" s="69"/>
      <c r="K479" s="69"/>
      <c r="L479" s="69"/>
      <c r="M479" s="69"/>
      <c r="N479" s="69"/>
      <c r="O479" s="69"/>
      <c r="P479" s="69"/>
    </row>
    <row r="480" spans="1:16" x14ac:dyDescent="0.25">
      <c r="A480" s="69"/>
      <c r="B480" s="69"/>
      <c r="C480" s="69"/>
      <c r="D480" s="69"/>
      <c r="E480" s="69"/>
      <c r="F480" s="69"/>
      <c r="G480" s="69"/>
      <c r="H480" s="69"/>
      <c r="I480" s="69"/>
      <c r="J480" s="69"/>
      <c r="K480" s="69"/>
      <c r="L480" s="69"/>
      <c r="M480" s="69"/>
      <c r="N480" s="69"/>
      <c r="O480" s="69"/>
      <c r="P480" s="69"/>
    </row>
    <row r="481" spans="1:16" x14ac:dyDescent="0.25">
      <c r="A481" s="69"/>
      <c r="B481" s="69"/>
      <c r="C481" s="69"/>
      <c r="D481" s="69"/>
      <c r="E481" s="69"/>
      <c r="F481" s="69"/>
      <c r="G481" s="69"/>
      <c r="H481" s="69"/>
      <c r="I481" s="69"/>
      <c r="J481" s="69"/>
      <c r="K481" s="69"/>
      <c r="L481" s="69"/>
      <c r="M481" s="69"/>
      <c r="N481" s="69"/>
      <c r="O481" s="69"/>
      <c r="P481" s="69"/>
    </row>
    <row r="482" spans="1:16" x14ac:dyDescent="0.25">
      <c r="A482" s="69"/>
      <c r="B482" s="69"/>
      <c r="C482" s="69"/>
      <c r="D482" s="69"/>
      <c r="E482" s="69"/>
      <c r="F482" s="69"/>
      <c r="G482" s="69"/>
      <c r="H482" s="69"/>
      <c r="I482" s="69"/>
      <c r="J482" s="69"/>
      <c r="K482" s="69"/>
      <c r="L482" s="69"/>
      <c r="M482" s="69"/>
      <c r="N482" s="69"/>
      <c r="O482" s="69"/>
      <c r="P482" s="69"/>
    </row>
    <row r="483" spans="1:16" x14ac:dyDescent="0.25">
      <c r="A483" s="69"/>
      <c r="B483" s="69"/>
      <c r="C483" s="69"/>
      <c r="D483" s="69"/>
      <c r="E483" s="69"/>
      <c r="F483" s="69"/>
      <c r="G483" s="69"/>
      <c r="H483" s="69"/>
      <c r="I483" s="69"/>
      <c r="J483" s="69"/>
      <c r="K483" s="69"/>
      <c r="L483" s="69"/>
      <c r="M483" s="69"/>
      <c r="N483" s="69"/>
      <c r="O483" s="69"/>
      <c r="P483" s="69"/>
    </row>
    <row r="484" spans="1:16" x14ac:dyDescent="0.25">
      <c r="A484" s="69"/>
      <c r="B484" s="69"/>
      <c r="C484" s="69"/>
      <c r="D484" s="69"/>
      <c r="E484" s="69"/>
      <c r="F484" s="69"/>
      <c r="G484" s="69"/>
      <c r="H484" s="69"/>
      <c r="I484" s="69"/>
      <c r="J484" s="69"/>
      <c r="K484" s="69"/>
      <c r="L484" s="69"/>
      <c r="M484" s="69"/>
      <c r="N484" s="69"/>
      <c r="O484" s="69"/>
      <c r="P484" s="69"/>
    </row>
    <row r="485" spans="1:16" x14ac:dyDescent="0.25">
      <c r="A485" s="69"/>
      <c r="B485" s="69"/>
      <c r="C485" s="69"/>
      <c r="D485" s="69"/>
      <c r="E485" s="69"/>
      <c r="F485" s="69"/>
      <c r="G485" s="69"/>
      <c r="H485" s="69"/>
      <c r="I485" s="69"/>
      <c r="J485" s="69"/>
      <c r="K485" s="69"/>
      <c r="L485" s="69"/>
      <c r="M485" s="69"/>
      <c r="N485" s="69"/>
      <c r="O485" s="69"/>
      <c r="P485" s="69"/>
    </row>
    <row r="486" spans="1:16" x14ac:dyDescent="0.25">
      <c r="A486" s="69"/>
      <c r="B486" s="69"/>
      <c r="C486" s="69"/>
      <c r="D486" s="69"/>
      <c r="E486" s="69"/>
      <c r="F486" s="69"/>
      <c r="G486" s="69"/>
      <c r="H486" s="69"/>
      <c r="I486" s="69"/>
      <c r="J486" s="69"/>
      <c r="K486" s="69"/>
      <c r="L486" s="69"/>
      <c r="M486" s="69"/>
      <c r="N486" s="69"/>
      <c r="O486" s="69"/>
      <c r="P486" s="69"/>
    </row>
    <row r="487" spans="1:16" x14ac:dyDescent="0.25">
      <c r="A487" s="69"/>
      <c r="B487" s="69"/>
      <c r="C487" s="69"/>
      <c r="D487" s="69"/>
      <c r="E487" s="69"/>
      <c r="F487" s="69"/>
      <c r="G487" s="69"/>
      <c r="H487" s="69"/>
      <c r="I487" s="69"/>
      <c r="J487" s="69"/>
      <c r="K487" s="69"/>
      <c r="L487" s="69"/>
      <c r="M487" s="69"/>
      <c r="N487" s="69"/>
      <c r="O487" s="69"/>
      <c r="P487" s="69"/>
    </row>
    <row r="488" spans="1:16" x14ac:dyDescent="0.25">
      <c r="A488" s="69"/>
      <c r="B488" s="69"/>
      <c r="C488" s="69"/>
      <c r="D488" s="69"/>
      <c r="E488" s="69"/>
      <c r="F488" s="69"/>
      <c r="G488" s="69"/>
      <c r="H488" s="69"/>
      <c r="I488" s="69"/>
      <c r="J488" s="69"/>
      <c r="K488" s="69"/>
      <c r="L488" s="69"/>
      <c r="M488" s="69"/>
      <c r="N488" s="69"/>
      <c r="O488" s="69"/>
      <c r="P488" s="69"/>
    </row>
    <row r="489" spans="1:16" x14ac:dyDescent="0.25">
      <c r="A489" s="69"/>
      <c r="B489" s="69"/>
      <c r="C489" s="69"/>
      <c r="D489" s="69"/>
      <c r="E489" s="69"/>
      <c r="F489" s="69"/>
      <c r="G489" s="69"/>
      <c r="H489" s="69"/>
      <c r="I489" s="69"/>
      <c r="J489" s="69"/>
      <c r="K489" s="69"/>
      <c r="L489" s="69"/>
      <c r="M489" s="69"/>
      <c r="N489" s="69"/>
      <c r="O489" s="69"/>
      <c r="P489" s="69"/>
    </row>
    <row r="490" spans="1:16" x14ac:dyDescent="0.25">
      <c r="A490" s="69"/>
      <c r="B490" s="69"/>
      <c r="C490" s="69"/>
      <c r="D490" s="69"/>
      <c r="E490" s="69"/>
      <c r="F490" s="69"/>
      <c r="G490" s="69"/>
      <c r="H490" s="69"/>
      <c r="I490" s="69"/>
      <c r="J490" s="69"/>
      <c r="K490" s="69"/>
      <c r="L490" s="69"/>
      <c r="M490" s="69"/>
      <c r="N490" s="69"/>
      <c r="O490" s="69"/>
      <c r="P490" s="69"/>
    </row>
    <row r="491" spans="1:16" x14ac:dyDescent="0.25">
      <c r="A491" s="69"/>
      <c r="B491" s="69"/>
      <c r="C491" s="69"/>
      <c r="D491" s="69"/>
      <c r="E491" s="69"/>
      <c r="F491" s="69"/>
      <c r="G491" s="69"/>
      <c r="H491" s="69"/>
      <c r="I491" s="69"/>
      <c r="J491" s="69"/>
      <c r="K491" s="69"/>
      <c r="L491" s="69"/>
      <c r="M491" s="69"/>
      <c r="N491" s="69"/>
      <c r="O491" s="69"/>
      <c r="P491" s="69"/>
    </row>
    <row r="492" spans="1:16" x14ac:dyDescent="0.25">
      <c r="A492" s="69"/>
      <c r="B492" s="69"/>
      <c r="C492" s="69"/>
      <c r="D492" s="69"/>
      <c r="E492" s="69"/>
      <c r="F492" s="69"/>
      <c r="G492" s="69"/>
      <c r="H492" s="69"/>
      <c r="I492" s="69"/>
      <c r="J492" s="69"/>
      <c r="K492" s="69"/>
      <c r="L492" s="69"/>
      <c r="M492" s="69"/>
      <c r="N492" s="69"/>
      <c r="O492" s="69"/>
      <c r="P492" s="69"/>
    </row>
    <row r="493" spans="1:16" x14ac:dyDescent="0.25">
      <c r="A493" s="69"/>
      <c r="B493" s="69"/>
      <c r="C493" s="69"/>
      <c r="D493" s="69"/>
      <c r="E493" s="69"/>
      <c r="F493" s="69"/>
      <c r="G493" s="69"/>
      <c r="H493" s="69"/>
      <c r="I493" s="69"/>
      <c r="J493" s="69"/>
      <c r="K493" s="69"/>
      <c r="L493" s="69"/>
      <c r="M493" s="69"/>
      <c r="N493" s="69"/>
      <c r="O493" s="69"/>
      <c r="P493" s="69"/>
    </row>
    <row r="494" spans="1:16" x14ac:dyDescent="0.25">
      <c r="A494" s="69"/>
      <c r="B494" s="69"/>
      <c r="C494" s="69"/>
      <c r="D494" s="69"/>
      <c r="E494" s="69"/>
      <c r="F494" s="69"/>
      <c r="G494" s="69"/>
      <c r="H494" s="69"/>
      <c r="I494" s="69"/>
      <c r="J494" s="69"/>
      <c r="K494" s="69"/>
      <c r="L494" s="69"/>
      <c r="M494" s="69"/>
      <c r="N494" s="69"/>
      <c r="O494" s="69"/>
      <c r="P494" s="69"/>
    </row>
    <row r="495" spans="1:16" x14ac:dyDescent="0.25">
      <c r="A495" s="69"/>
      <c r="B495" s="69"/>
      <c r="C495" s="69"/>
      <c r="D495" s="69"/>
      <c r="E495" s="69"/>
      <c r="F495" s="69"/>
      <c r="G495" s="69"/>
      <c r="H495" s="69"/>
      <c r="I495" s="69"/>
      <c r="J495" s="69"/>
      <c r="K495" s="69"/>
      <c r="L495" s="69"/>
      <c r="M495" s="69"/>
      <c r="N495" s="69"/>
      <c r="O495" s="69"/>
      <c r="P495" s="69"/>
    </row>
    <row r="496" spans="1:16" x14ac:dyDescent="0.25">
      <c r="A496" s="69"/>
      <c r="B496" s="69"/>
      <c r="C496" s="69"/>
      <c r="D496" s="69"/>
      <c r="E496" s="69"/>
      <c r="F496" s="69"/>
      <c r="G496" s="69"/>
      <c r="H496" s="69"/>
      <c r="I496" s="69"/>
      <c r="J496" s="69"/>
      <c r="K496" s="69"/>
      <c r="L496" s="69"/>
      <c r="M496" s="69"/>
      <c r="N496" s="69"/>
      <c r="O496" s="69"/>
      <c r="P496" s="69"/>
    </row>
    <row r="497" spans="1:16" x14ac:dyDescent="0.25">
      <c r="A497" s="69"/>
      <c r="B497" s="69"/>
      <c r="C497" s="69"/>
      <c r="D497" s="69"/>
      <c r="E497" s="69"/>
      <c r="F497" s="69"/>
      <c r="G497" s="69"/>
      <c r="H497" s="69"/>
      <c r="I497" s="69"/>
      <c r="J497" s="69"/>
      <c r="K497" s="69"/>
      <c r="L497" s="69"/>
      <c r="M497" s="69"/>
      <c r="N497" s="69"/>
      <c r="O497" s="69"/>
      <c r="P497" s="69"/>
    </row>
    <row r="498" spans="1:16" x14ac:dyDescent="0.25">
      <c r="A498" s="69"/>
      <c r="B498" s="69"/>
      <c r="C498" s="69"/>
      <c r="D498" s="69"/>
      <c r="E498" s="69"/>
      <c r="F498" s="69"/>
      <c r="G498" s="69"/>
      <c r="H498" s="69"/>
      <c r="I498" s="69"/>
      <c r="J498" s="69"/>
      <c r="K498" s="69"/>
      <c r="L498" s="69"/>
      <c r="M498" s="69"/>
      <c r="N498" s="69"/>
      <c r="O498" s="69"/>
      <c r="P498" s="69"/>
    </row>
    <row r="499" spans="1:16" x14ac:dyDescent="0.25">
      <c r="A499" s="69"/>
      <c r="B499" s="69"/>
      <c r="C499" s="69"/>
      <c r="D499" s="69"/>
      <c r="E499" s="69"/>
      <c r="F499" s="69"/>
      <c r="G499" s="69"/>
      <c r="H499" s="69"/>
      <c r="I499" s="69"/>
      <c r="J499" s="69"/>
      <c r="K499" s="69"/>
      <c r="L499" s="69"/>
      <c r="M499" s="69"/>
      <c r="N499" s="69"/>
      <c r="O499" s="69"/>
      <c r="P499" s="69"/>
    </row>
    <row r="500" spans="1:16" x14ac:dyDescent="0.25">
      <c r="A500" s="69"/>
      <c r="B500" s="69"/>
      <c r="C500" s="69"/>
      <c r="D500" s="69"/>
      <c r="E500" s="69"/>
      <c r="F500" s="69"/>
      <c r="G500" s="69"/>
      <c r="H500" s="69"/>
      <c r="I500" s="69"/>
      <c r="J500" s="69"/>
      <c r="K500" s="69"/>
      <c r="L500" s="69"/>
      <c r="M500" s="69"/>
      <c r="N500" s="69"/>
      <c r="O500" s="69"/>
      <c r="P500" s="69"/>
    </row>
    <row r="501" spans="1:16" x14ac:dyDescent="0.25">
      <c r="A501" s="69"/>
      <c r="B501" s="69"/>
      <c r="C501" s="69"/>
      <c r="D501" s="69"/>
      <c r="E501" s="69"/>
      <c r="F501" s="69"/>
      <c r="G501" s="69"/>
      <c r="H501" s="69"/>
      <c r="I501" s="69"/>
      <c r="J501" s="69"/>
      <c r="K501" s="69"/>
      <c r="L501" s="69"/>
      <c r="M501" s="69"/>
      <c r="N501" s="69"/>
      <c r="O501" s="69"/>
      <c r="P501" s="69"/>
    </row>
    <row r="502" spans="1:16" x14ac:dyDescent="0.25">
      <c r="A502" s="69"/>
      <c r="B502" s="69"/>
      <c r="C502" s="69"/>
      <c r="D502" s="69"/>
      <c r="E502" s="69"/>
      <c r="F502" s="69"/>
      <c r="G502" s="69"/>
      <c r="H502" s="69"/>
      <c r="I502" s="69"/>
      <c r="J502" s="69"/>
      <c r="K502" s="69"/>
      <c r="L502" s="69"/>
      <c r="M502" s="69"/>
      <c r="N502" s="69"/>
      <c r="O502" s="69"/>
      <c r="P502" s="69"/>
    </row>
    <row r="503" spans="1:16" x14ac:dyDescent="0.25">
      <c r="A503" s="69"/>
      <c r="B503" s="69"/>
      <c r="C503" s="69"/>
      <c r="D503" s="69"/>
      <c r="E503" s="69"/>
      <c r="F503" s="69"/>
      <c r="G503" s="69"/>
      <c r="H503" s="69"/>
      <c r="I503" s="69"/>
      <c r="J503" s="69"/>
      <c r="K503" s="69"/>
      <c r="L503" s="69"/>
      <c r="M503" s="69"/>
      <c r="N503" s="69"/>
      <c r="O503" s="69"/>
      <c r="P503" s="69"/>
    </row>
    <row r="504" spans="1:16" x14ac:dyDescent="0.25">
      <c r="A504" s="69"/>
      <c r="B504" s="69"/>
      <c r="C504" s="69"/>
      <c r="D504" s="69"/>
      <c r="E504" s="69"/>
      <c r="F504" s="69"/>
      <c r="G504" s="69"/>
      <c r="H504" s="69"/>
      <c r="I504" s="69"/>
      <c r="J504" s="69"/>
      <c r="K504" s="69"/>
      <c r="L504" s="69"/>
      <c r="M504" s="69"/>
      <c r="N504" s="69"/>
      <c r="O504" s="69"/>
      <c r="P504" s="69"/>
    </row>
    <row r="505" spans="1:16" x14ac:dyDescent="0.25">
      <c r="A505" s="69"/>
      <c r="B505" s="69"/>
      <c r="C505" s="69"/>
      <c r="D505" s="69"/>
      <c r="E505" s="69"/>
      <c r="F505" s="69"/>
      <c r="G505" s="69"/>
      <c r="H505" s="69"/>
      <c r="I505" s="69"/>
      <c r="J505" s="69"/>
      <c r="K505" s="69"/>
      <c r="L505" s="69"/>
      <c r="M505" s="69"/>
      <c r="N505" s="69"/>
      <c r="O505" s="69"/>
      <c r="P505" s="69"/>
    </row>
    <row r="506" spans="1:16" x14ac:dyDescent="0.25">
      <c r="A506" s="69"/>
      <c r="B506" s="69"/>
      <c r="C506" s="69"/>
      <c r="D506" s="69"/>
      <c r="E506" s="69"/>
      <c r="F506" s="69"/>
      <c r="G506" s="69"/>
      <c r="H506" s="69"/>
      <c r="I506" s="69"/>
      <c r="J506" s="69"/>
      <c r="K506" s="69"/>
      <c r="L506" s="69"/>
      <c r="M506" s="69"/>
      <c r="N506" s="69"/>
      <c r="O506" s="69"/>
      <c r="P506" s="69"/>
    </row>
    <row r="507" spans="1:16" x14ac:dyDescent="0.25">
      <c r="A507" s="69"/>
      <c r="B507" s="69"/>
      <c r="C507" s="69"/>
      <c r="D507" s="69"/>
      <c r="E507" s="69"/>
      <c r="F507" s="69"/>
      <c r="G507" s="69"/>
      <c r="H507" s="69"/>
      <c r="I507" s="69"/>
      <c r="J507" s="69"/>
      <c r="K507" s="69"/>
      <c r="L507" s="69"/>
      <c r="M507" s="69"/>
      <c r="N507" s="69"/>
      <c r="O507" s="69"/>
      <c r="P507" s="69"/>
    </row>
  </sheetData>
  <sheetProtection formatCells="0" formatColumns="0" formatRows="0" sort="0" autoFilter="0" pivotTables="0"/>
  <autoFilter ref="Q1:Q402" xr:uid="{00000000-0009-0000-0000-000004000000}">
    <filterColumn colId="0">
      <filters>
        <filter val="Yes"/>
      </filters>
    </filterColumn>
  </autoFilter>
  <mergeCells count="107">
    <mergeCell ref="D258:F258"/>
    <mergeCell ref="D265:F265"/>
    <mergeCell ref="D263:F263"/>
    <mergeCell ref="D302:G302"/>
    <mergeCell ref="D305:G305"/>
    <mergeCell ref="D306:G306"/>
    <mergeCell ref="D290:G290"/>
    <mergeCell ref="D299:G299"/>
    <mergeCell ref="D300:G300"/>
    <mergeCell ref="D270:G270"/>
    <mergeCell ref="D274:G274"/>
    <mergeCell ref="D275:G275"/>
    <mergeCell ref="D276:G276"/>
    <mergeCell ref="D278:G278"/>
    <mergeCell ref="D271:G271"/>
    <mergeCell ref="D272:G272"/>
    <mergeCell ref="D269:G269"/>
    <mergeCell ref="D256:F256"/>
    <mergeCell ref="D312:G312"/>
    <mergeCell ref="D293:G293"/>
    <mergeCell ref="D292:G292"/>
    <mergeCell ref="D126:G126"/>
    <mergeCell ref="D273:G273"/>
    <mergeCell ref="D277:G277"/>
    <mergeCell ref="D262:F262"/>
    <mergeCell ref="D264:F264"/>
    <mergeCell ref="D288:G288"/>
    <mergeCell ref="D285:G285"/>
    <mergeCell ref="D284:G284"/>
    <mergeCell ref="G254:G255"/>
    <mergeCell ref="D286:G286"/>
    <mergeCell ref="D294:G294"/>
    <mergeCell ref="D289:G289"/>
    <mergeCell ref="D291:G291"/>
    <mergeCell ref="D287:G287"/>
    <mergeCell ref="D301:G301"/>
    <mergeCell ref="D129:G129"/>
    <mergeCell ref="D130:G130"/>
    <mergeCell ref="D280:G280"/>
    <mergeCell ref="D283:G283"/>
    <mergeCell ref="D279:G279"/>
    <mergeCell ref="J99:N99"/>
    <mergeCell ref="F96:I96"/>
    <mergeCell ref="D259:F259"/>
    <mergeCell ref="D260:F260"/>
    <mergeCell ref="D261:F261"/>
    <mergeCell ref="H105:I105"/>
    <mergeCell ref="F99:I99"/>
    <mergeCell ref="F110:G110"/>
    <mergeCell ref="F111:G111"/>
    <mergeCell ref="H110:I110"/>
    <mergeCell ref="F104:M104"/>
    <mergeCell ref="D128:G128"/>
    <mergeCell ref="J111:K111"/>
    <mergeCell ref="L111:M111"/>
    <mergeCell ref="H109:I109"/>
    <mergeCell ref="H106:I106"/>
    <mergeCell ref="F112:G112"/>
    <mergeCell ref="F108:G108"/>
    <mergeCell ref="D257:F257"/>
    <mergeCell ref="D132:G132"/>
    <mergeCell ref="F107:G107"/>
    <mergeCell ref="H254:L254"/>
    <mergeCell ref="D254:F255"/>
    <mergeCell ref="F98:I98"/>
    <mergeCell ref="L112:M112"/>
    <mergeCell ref="L105:M105"/>
    <mergeCell ref="L107:M107"/>
    <mergeCell ref="D127:G127"/>
    <mergeCell ref="J110:K110"/>
    <mergeCell ref="L110:M110"/>
    <mergeCell ref="H108:I108"/>
    <mergeCell ref="F105:G105"/>
    <mergeCell ref="F109:G109"/>
    <mergeCell ref="L106:M106"/>
    <mergeCell ref="J107:K107"/>
    <mergeCell ref="J108:K108"/>
    <mergeCell ref="J109:K109"/>
    <mergeCell ref="H107:I107"/>
    <mergeCell ref="H111:I111"/>
    <mergeCell ref="F106:G106"/>
    <mergeCell ref="L108:M108"/>
    <mergeCell ref="L109:M109"/>
    <mergeCell ref="D131:G131"/>
    <mergeCell ref="F97:I97"/>
    <mergeCell ref="F94:I94"/>
    <mergeCell ref="F53:H53"/>
    <mergeCell ref="F62:G62"/>
    <mergeCell ref="F59:H59"/>
    <mergeCell ref="F60:H60"/>
    <mergeCell ref="F95:I95"/>
    <mergeCell ref="C18:O18"/>
    <mergeCell ref="C21:O21"/>
    <mergeCell ref="E23:F23"/>
    <mergeCell ref="F57:H57"/>
    <mergeCell ref="F58:H58"/>
    <mergeCell ref="G32:I32"/>
    <mergeCell ref="G31:I31"/>
    <mergeCell ref="G30:I30"/>
    <mergeCell ref="G29:I29"/>
    <mergeCell ref="G28:I28"/>
    <mergeCell ref="G27:I27"/>
    <mergeCell ref="G26:I26"/>
    <mergeCell ref="G25:I25"/>
    <mergeCell ref="J95:N95"/>
    <mergeCell ref="J105:K105"/>
    <mergeCell ref="J106:K106"/>
  </mergeCells>
  <phoneticPr fontId="43" type="noConversion"/>
  <printOptions horizontalCentered="1"/>
  <pageMargins left="0" right="0" top="1.1099999999999999" bottom="0.5" header="0.3" footer="0.3"/>
  <pageSetup scale="50" fitToHeight="10" orientation="landscape" r:id="rId1"/>
  <rowBreaks count="9" manualBreakCount="9">
    <brk id="48" min="2" max="15" man="1"/>
    <brk id="90" min="2" max="15" man="1"/>
    <brk id="310" min="2" max="15" man="1"/>
    <brk id="123" min="2" max="15" man="1"/>
    <brk id="91" min="2" max="15" man="1"/>
    <brk id="148" min="2" max="15" man="1"/>
    <brk id="149" min="2" max="15" man="1"/>
    <brk id="181" min="2" max="15" man="1"/>
    <brk id="390" min="2" max="15"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C1:AE41"/>
  <sheetViews>
    <sheetView showGridLines="0" rightToLeft="1" zoomScale="85" zoomScaleNormal="85" workbookViewId="0">
      <pane ySplit="4" topLeftCell="A5" activePane="bottomLeft" state="frozen"/>
      <selection activeCell="B1" sqref="B1"/>
      <selection pane="bottomLeft" activeCell="D8" sqref="D8"/>
    </sheetView>
  </sheetViews>
  <sheetFormatPr defaultColWidth="8.69921875" defaultRowHeight="13.8" x14ac:dyDescent="0.25"/>
  <cols>
    <col min="1" max="1" width="0.8984375" style="21" customWidth="1"/>
    <col min="2" max="2" width="1.8984375" style="21" customWidth="1"/>
    <col min="3" max="3" width="39.09765625" style="21" customWidth="1"/>
    <col min="4" max="4" width="10.09765625" style="21" bestFit="1" customWidth="1"/>
    <col min="5" max="9" width="10.8984375" style="21" bestFit="1" customWidth="1"/>
    <col min="10" max="10" width="4.09765625" style="21" customWidth="1"/>
    <col min="11" max="11" width="38.296875" style="21" customWidth="1"/>
    <col min="12" max="16" width="9.09765625" style="21" customWidth="1"/>
    <col min="17" max="17" width="6.3984375" style="21" bestFit="1" customWidth="1"/>
    <col min="18" max="18" width="10" style="21" bestFit="1" customWidth="1"/>
    <col min="19" max="19" width="9.69921875" style="21" bestFit="1" customWidth="1"/>
    <col min="20" max="16384" width="8.69921875" style="21"/>
  </cols>
  <sheetData>
    <row r="1" spans="3:31" ht="14.4" thickBot="1" x14ac:dyDescent="0.3">
      <c r="K1" s="576" t="s">
        <v>159</v>
      </c>
      <c r="L1" s="577"/>
      <c r="M1" s="577"/>
      <c r="N1" s="578"/>
      <c r="O1" s="132">
        <v>1000</v>
      </c>
      <c r="P1" s="131" t="str">
        <f>VLOOKUP(O1,R6:S8,2,0)</f>
        <v xml:space="preserve"> ( آلاف ) </v>
      </c>
    </row>
    <row r="3" spans="3:31" ht="40.200000000000003" customHeight="1" x14ac:dyDescent="0.25">
      <c r="C3" s="575" t="str">
        <f>"ملخص دراسة "&amp;'بيانات الدراسة'!D10</f>
        <v>ملخص دراسة مثال لدراسة</v>
      </c>
      <c r="D3" s="575"/>
      <c r="E3" s="575"/>
      <c r="F3" s="575"/>
      <c r="G3" s="575"/>
      <c r="H3" s="575"/>
      <c r="I3" s="575"/>
      <c r="J3" s="575"/>
      <c r="K3" s="575"/>
      <c r="L3" s="575"/>
      <c r="M3" s="575"/>
      <c r="N3" s="575"/>
      <c r="O3" s="575"/>
      <c r="P3" s="575"/>
    </row>
    <row r="4" spans="3:31" ht="16.2" customHeight="1" x14ac:dyDescent="0.25">
      <c r="C4" s="134" t="str">
        <f>'بيانات الدراسة'!D14&amp;ملخص!P1</f>
        <v xml:space="preserve">الريال السعودي ( آلاف ) </v>
      </c>
      <c r="D4" s="135"/>
      <c r="E4" s="135"/>
      <c r="F4" s="135"/>
      <c r="G4" s="135"/>
      <c r="H4" s="135"/>
      <c r="I4" s="135"/>
      <c r="J4" s="135"/>
      <c r="K4" s="135"/>
      <c r="L4" s="135"/>
      <c r="M4" s="135"/>
      <c r="N4" s="135"/>
      <c r="O4" s="135"/>
      <c r="P4" s="135"/>
    </row>
    <row r="5" spans="3:31" ht="10.199999999999999" customHeight="1" x14ac:dyDescent="0.25">
      <c r="E5" s="113"/>
      <c r="F5" s="113"/>
      <c r="G5" s="113"/>
      <c r="H5" s="113"/>
      <c r="I5" s="113"/>
      <c r="R5" s="113"/>
    </row>
    <row r="6" spans="3:31" ht="20.100000000000001" customHeight="1" x14ac:dyDescent="0.25">
      <c r="C6" s="109" t="s">
        <v>147</v>
      </c>
      <c r="D6" s="109" t="s">
        <v>83</v>
      </c>
      <c r="E6" s="109">
        <f>'ادخال  التوقعات المالية'!C1</f>
        <v>2024</v>
      </c>
      <c r="F6" s="109">
        <f>'ادخال  التوقعات المالية'!D1</f>
        <v>2025</v>
      </c>
      <c r="G6" s="109">
        <f>'ادخال  التوقعات المالية'!E1</f>
        <v>2026</v>
      </c>
      <c r="H6" s="109">
        <f>'ادخال  التوقعات المالية'!F1</f>
        <v>2027</v>
      </c>
      <c r="I6" s="109">
        <f>'ادخال  التوقعات المالية'!G1</f>
        <v>2028</v>
      </c>
      <c r="K6" s="319" t="str">
        <f>'التقرير '!F94</f>
        <v>المؤشرات المالية</v>
      </c>
      <c r="L6" s="191">
        <f>E6</f>
        <v>2024</v>
      </c>
      <c r="M6" s="191">
        <f>F6</f>
        <v>2025</v>
      </c>
      <c r="N6" s="191">
        <f>G6</f>
        <v>2026</v>
      </c>
      <c r="O6" s="191">
        <f>H6</f>
        <v>2027</v>
      </c>
      <c r="P6" s="191">
        <f>I6</f>
        <v>2028</v>
      </c>
      <c r="Q6" s="122"/>
      <c r="R6" s="130">
        <v>1</v>
      </c>
      <c r="S6" s="363" t="s">
        <v>231</v>
      </c>
    </row>
    <row r="7" spans="3:31" ht="19.2" customHeight="1" x14ac:dyDescent="0.25">
      <c r="K7" s="133" t="s">
        <v>155</v>
      </c>
      <c r="L7" s="579">
        <f>'التقرير '!J95/O1</f>
        <v>1600</v>
      </c>
      <c r="M7" s="579"/>
      <c r="N7" s="579"/>
      <c r="O7" s="579"/>
      <c r="P7" s="580"/>
      <c r="R7" s="130">
        <v>1000</v>
      </c>
      <c r="S7" s="123" t="s">
        <v>158</v>
      </c>
    </row>
    <row r="8" spans="3:31" ht="19.2" customHeight="1" x14ac:dyDescent="0.25">
      <c r="C8" s="78" t="s">
        <v>237</v>
      </c>
      <c r="D8" s="113">
        <f>'التقرير '!I207/$O$1</f>
        <v>1957</v>
      </c>
      <c r="E8" s="113">
        <f>'التقرير '!J207/$O$1</f>
        <v>2163.4714279936366</v>
      </c>
      <c r="F8" s="113">
        <f>'التقرير '!K207/$O$1</f>
        <v>3148.5232322372731</v>
      </c>
      <c r="G8" s="113">
        <f>'التقرير '!L207/$O$1</f>
        <v>4656.1527127309109</v>
      </c>
      <c r="H8" s="113">
        <f>'التقرير '!M207/$O$1</f>
        <v>6407.892573224547</v>
      </c>
      <c r="I8" s="113">
        <f>'التقرير '!N207/$O$1</f>
        <v>8529.8529012181825</v>
      </c>
      <c r="K8" s="320" t="s">
        <v>123</v>
      </c>
      <c r="L8" s="581">
        <f>'التقرير '!J99</f>
        <v>2.7905997755903851</v>
      </c>
      <c r="M8" s="582"/>
      <c r="N8" s="582"/>
      <c r="O8" s="582"/>
      <c r="P8" s="583"/>
      <c r="R8" s="130">
        <v>1000000</v>
      </c>
      <c r="S8" s="123" t="s">
        <v>157</v>
      </c>
    </row>
    <row r="9" spans="3:31" ht="22.5" customHeight="1" x14ac:dyDescent="0.25">
      <c r="C9" s="78" t="s">
        <v>238</v>
      </c>
      <c r="D9" s="113">
        <f>'التقرير '!I211/$O$1</f>
        <v>443</v>
      </c>
      <c r="E9" s="113">
        <f>'التقرير '!J211/$O$1</f>
        <v>353.2</v>
      </c>
      <c r="F9" s="113">
        <f>'التقرير '!K211/$O$1</f>
        <v>263.39999999999998</v>
      </c>
      <c r="G9" s="113">
        <f>'التقرير '!L211/$O$1</f>
        <v>173.6</v>
      </c>
      <c r="H9" s="113">
        <f>'التقرير '!M211/$O$1</f>
        <v>86.8</v>
      </c>
      <c r="I9" s="113">
        <f>'التقرير '!N211/$O$1</f>
        <v>0</v>
      </c>
      <c r="K9" s="320" t="s">
        <v>200</v>
      </c>
      <c r="L9" s="321">
        <f>E24</f>
        <v>-219.57940000000053</v>
      </c>
      <c r="M9" s="321">
        <f>F24</f>
        <v>789.71491963025392</v>
      </c>
      <c r="N9" s="321">
        <f>G24</f>
        <v>1389.5504769957192</v>
      </c>
      <c r="O9" s="321">
        <f>H24</f>
        <v>1694.7889948558031</v>
      </c>
      <c r="P9" s="321">
        <f>I24</f>
        <v>2070.4362347302886</v>
      </c>
    </row>
    <row r="10" spans="3:31" ht="21.6" customHeight="1" x14ac:dyDescent="0.25">
      <c r="C10" s="114" t="s">
        <v>50</v>
      </c>
      <c r="D10" s="115">
        <f t="shared" ref="D10:I10" si="0">D8+D9</f>
        <v>2400</v>
      </c>
      <c r="E10" s="115">
        <f t="shared" si="0"/>
        <v>2516.6714279936364</v>
      </c>
      <c r="F10" s="115">
        <f t="shared" si="0"/>
        <v>3411.9232322372732</v>
      </c>
      <c r="G10" s="115">
        <f t="shared" si="0"/>
        <v>4829.7527127309113</v>
      </c>
      <c r="H10" s="115">
        <f t="shared" si="0"/>
        <v>6494.6925732245472</v>
      </c>
      <c r="I10" s="115">
        <f t="shared" si="0"/>
        <v>8529.8529012181825</v>
      </c>
      <c r="J10" s="78"/>
      <c r="K10" s="320" t="s">
        <v>153</v>
      </c>
      <c r="L10" s="322">
        <f>L9/$L$7</f>
        <v>-0.13723712500000032</v>
      </c>
      <c r="M10" s="322">
        <f>M9/$L$7</f>
        <v>0.49357182476890871</v>
      </c>
      <c r="N10" s="322">
        <f>N9/$L$7</f>
        <v>0.86846904812232451</v>
      </c>
      <c r="O10" s="322">
        <f>O9/$L$7</f>
        <v>1.059243121784877</v>
      </c>
      <c r="P10" s="322">
        <f>P9/$L$7</f>
        <v>1.2940226467064304</v>
      </c>
    </row>
    <row r="11" spans="3:31" ht="17.7" customHeight="1" x14ac:dyDescent="0.25">
      <c r="C11" s="78"/>
      <c r="D11" s="78"/>
      <c r="E11" s="78"/>
      <c r="F11" s="78"/>
      <c r="G11" s="78"/>
      <c r="H11" s="78"/>
      <c r="I11" s="78"/>
      <c r="J11" s="78"/>
      <c r="K11" s="320" t="str">
        <f>'التقرير '!F98</f>
        <v>نقطة التعادل بالقيمة</v>
      </c>
      <c r="L11" s="324">
        <f>'التقرير '!J98/$O$1</f>
        <v>4698.3791265721602</v>
      </c>
      <c r="M11" s="324">
        <f>'التقرير '!K98/$O$1</f>
        <v>5130.6321127682741</v>
      </c>
      <c r="N11" s="324">
        <f>'التقرير '!L98/$O$1</f>
        <v>5590.5361954869823</v>
      </c>
      <c r="O11" s="324">
        <f>'التقرير '!M98/$O$1</f>
        <v>6061.2608229426405</v>
      </c>
      <c r="P11" s="324">
        <f>'التقرير '!N98/$O$1</f>
        <v>6409.9000059286282</v>
      </c>
      <c r="Q11" s="126"/>
      <c r="T11" s="126"/>
      <c r="U11" s="126"/>
      <c r="V11" s="126"/>
      <c r="W11" s="126"/>
      <c r="X11" s="126"/>
      <c r="Y11" s="126"/>
      <c r="Z11" s="126"/>
      <c r="AA11" s="126"/>
      <c r="AB11" s="126"/>
      <c r="AC11" s="126"/>
      <c r="AD11" s="126"/>
      <c r="AE11" s="126"/>
    </row>
    <row r="12" spans="3:31" ht="17.7" customHeight="1" x14ac:dyDescent="0.25">
      <c r="C12" s="78" t="s">
        <v>148</v>
      </c>
      <c r="D12" s="79">
        <f>'التقرير '!I217/$O$1</f>
        <v>0</v>
      </c>
      <c r="E12" s="79">
        <f>'التقرير '!J217/$O$1</f>
        <v>582.29425288661776</v>
      </c>
      <c r="F12" s="79">
        <f>'التقرير '!K217/$O$1</f>
        <v>818.28239650208252</v>
      </c>
      <c r="G12" s="79">
        <f>'التقرير '!L217/$O$1</f>
        <v>982.23070936216573</v>
      </c>
      <c r="H12" s="79">
        <f>'التقرير '!M217/$O$1</f>
        <v>1093.4776567366523</v>
      </c>
      <c r="I12" s="79">
        <f>'التقرير '!N217/$O$1</f>
        <v>1204.9416750061187</v>
      </c>
      <c r="K12" s="323" t="str">
        <f>'ادخال  التوقعات المالية'!B137</f>
        <v>المخزون - بالايام</v>
      </c>
      <c r="L12" s="572">
        <f>'ادخال  التوقعات المالية'!C137</f>
        <v>90</v>
      </c>
      <c r="M12" s="573"/>
      <c r="N12" s="573"/>
      <c r="O12" s="573"/>
      <c r="P12" s="574"/>
      <c r="Q12" s="126"/>
      <c r="R12" s="126"/>
      <c r="S12" s="126"/>
      <c r="T12" s="126"/>
      <c r="U12" s="126"/>
      <c r="V12" s="126"/>
      <c r="W12" s="126"/>
      <c r="X12" s="126"/>
      <c r="Y12" s="126"/>
      <c r="Z12" s="126"/>
      <c r="AA12" s="126"/>
      <c r="AB12" s="126"/>
      <c r="AC12" s="126"/>
      <c r="AD12" s="126"/>
      <c r="AE12" s="126"/>
    </row>
    <row r="13" spans="3:31" ht="17.7" customHeight="1" x14ac:dyDescent="0.25">
      <c r="C13" s="78" t="s">
        <v>239</v>
      </c>
      <c r="D13" s="113">
        <f>'التقرير '!I223/$O$1</f>
        <v>1600</v>
      </c>
      <c r="E13" s="113">
        <f>'التقرير '!J223/$O$1</f>
        <v>1600</v>
      </c>
      <c r="F13" s="113">
        <f>'التقرير '!K223/$O$1</f>
        <v>1600</v>
      </c>
      <c r="G13" s="113">
        <f>'التقرير '!L223/$O$1</f>
        <v>1600</v>
      </c>
      <c r="H13" s="113">
        <f>'التقرير '!M223/$O$1</f>
        <v>1600</v>
      </c>
      <c r="I13" s="113">
        <f>'التقرير '!N223/$O$1</f>
        <v>1600</v>
      </c>
      <c r="J13" s="78"/>
      <c r="K13" s="323" t="str">
        <f>'ادخال  التوقعات المالية'!B138</f>
        <v>الذمم المدينة (العملاء) - بالايام</v>
      </c>
      <c r="L13" s="572">
        <f>'ادخال  التوقعات المالية'!C138</f>
        <v>20</v>
      </c>
      <c r="M13" s="573"/>
      <c r="N13" s="573"/>
      <c r="O13" s="573"/>
      <c r="P13" s="574"/>
      <c r="Q13" s="126"/>
      <c r="R13" s="126"/>
      <c r="S13" s="126"/>
      <c r="T13" s="126"/>
      <c r="U13" s="126"/>
      <c r="V13" s="126"/>
      <c r="W13" s="126"/>
      <c r="X13" s="126"/>
      <c r="Y13" s="126"/>
      <c r="Z13" s="126"/>
      <c r="AA13" s="126"/>
      <c r="AB13" s="126"/>
      <c r="AC13" s="126"/>
      <c r="AD13" s="126"/>
      <c r="AE13" s="126"/>
    </row>
    <row r="14" spans="3:31" ht="22.5" customHeight="1" x14ac:dyDescent="0.25">
      <c r="C14" s="78" t="s">
        <v>149</v>
      </c>
      <c r="D14" s="113">
        <f>'التقرير '!I224/$O$1</f>
        <v>0</v>
      </c>
      <c r="E14" s="113">
        <f>'التقرير '!J224/$O$1</f>
        <v>-219.57940000000036</v>
      </c>
      <c r="F14" s="113">
        <f>'التقرير '!K224/$O$1</f>
        <v>570.13551963025395</v>
      </c>
      <c r="G14" s="113">
        <f>'التقرير '!L224/$O$1</f>
        <v>1959.6859966259733</v>
      </c>
      <c r="H14" s="113">
        <f>'التقرير '!M224/$O$1</f>
        <v>3654.4749914817762</v>
      </c>
      <c r="I14" s="113">
        <f>'التقرير '!N224/$O$1</f>
        <v>5724.9112262120652</v>
      </c>
      <c r="K14" s="323" t="str">
        <f>'ادخال  التوقعات المالية'!B139</f>
        <v>الذمم الدائنة (الموردين) - بالايام</v>
      </c>
      <c r="L14" s="572">
        <f>'ادخال  التوقعات المالية'!C139</f>
        <v>90</v>
      </c>
      <c r="M14" s="573"/>
      <c r="N14" s="573"/>
      <c r="O14" s="573"/>
      <c r="P14" s="574"/>
      <c r="Q14" s="126"/>
      <c r="R14" s="126"/>
      <c r="S14" s="126"/>
      <c r="T14" s="126"/>
      <c r="U14" s="126"/>
      <c r="V14" s="126"/>
      <c r="W14" s="126"/>
      <c r="X14" s="126"/>
      <c r="Y14" s="126"/>
      <c r="Z14" s="126"/>
      <c r="AA14" s="126"/>
      <c r="AB14" s="126"/>
      <c r="AC14" s="126"/>
      <c r="AD14" s="126"/>
      <c r="AE14" s="126"/>
    </row>
    <row r="15" spans="3:31" ht="20.7" customHeight="1" x14ac:dyDescent="0.25">
      <c r="C15" s="114" t="s">
        <v>240</v>
      </c>
      <c r="D15" s="115">
        <f>'التقرير '!I225/$O$1</f>
        <v>2400</v>
      </c>
      <c r="E15" s="115">
        <f>'التقرير '!J225/$O$1</f>
        <v>2516.6714279936364</v>
      </c>
      <c r="F15" s="115">
        <f>'التقرير '!K225/$O$1</f>
        <v>3411.9232322372727</v>
      </c>
      <c r="G15" s="115">
        <f>'التقرير '!L225/$O$1</f>
        <v>4829.7527127309095</v>
      </c>
      <c r="H15" s="115">
        <f>'التقرير '!M225/$O$1</f>
        <v>6494.6925732245472</v>
      </c>
      <c r="I15" s="115">
        <f>'التقرير '!N225/$O$1</f>
        <v>8529.8529012181825</v>
      </c>
      <c r="K15" s="323" t="s">
        <v>154</v>
      </c>
      <c r="L15" s="325">
        <f>-E20/('التقرير '!I206/1000)</f>
        <v>4.0000000000000009</v>
      </c>
      <c r="M15" s="325">
        <f>-F20/('التقرير '!J206/1000)</f>
        <v>6.0222441058848721</v>
      </c>
      <c r="N15" s="325">
        <f>-G20/('التقرير '!K206/1000)</f>
        <v>4.9230769230769234</v>
      </c>
      <c r="O15" s="325">
        <f>-H20/('التقرير '!L206/1000)</f>
        <v>4.5</v>
      </c>
      <c r="P15" s="325">
        <f>-I20/('التقرير '!M206/1000)</f>
        <v>4.4444444444444446</v>
      </c>
      <c r="Q15" s="126"/>
      <c r="R15" s="126"/>
      <c r="S15" s="126"/>
      <c r="T15" s="126"/>
      <c r="U15" s="126"/>
      <c r="V15" s="126"/>
      <c r="W15" s="126"/>
      <c r="X15" s="126"/>
      <c r="Y15" s="126"/>
      <c r="Z15" s="126"/>
      <c r="AA15" s="126"/>
      <c r="AB15" s="126"/>
      <c r="AC15" s="126"/>
      <c r="AD15" s="126"/>
      <c r="AE15" s="126"/>
    </row>
    <row r="16" spans="3:31" x14ac:dyDescent="0.25">
      <c r="D16" s="78"/>
      <c r="E16" s="113"/>
      <c r="F16" s="113"/>
      <c r="G16" s="113"/>
      <c r="H16" s="113"/>
      <c r="I16" s="113"/>
      <c r="Q16" s="126"/>
      <c r="R16" s="126"/>
      <c r="S16" s="126"/>
      <c r="T16" s="126"/>
      <c r="U16" s="126"/>
      <c r="V16" s="126"/>
      <c r="W16" s="126"/>
      <c r="X16" s="126"/>
      <c r="Y16" s="126"/>
      <c r="Z16" s="126"/>
      <c r="AA16" s="126"/>
      <c r="AB16" s="126"/>
      <c r="AC16" s="126"/>
      <c r="AD16" s="126"/>
      <c r="AE16" s="126"/>
    </row>
    <row r="17" spans="3:31" ht="20.100000000000001" customHeight="1" x14ac:dyDescent="0.25">
      <c r="C17" s="109" t="s">
        <v>145</v>
      </c>
      <c r="D17" s="109"/>
      <c r="E17" s="109">
        <f>E6</f>
        <v>2024</v>
      </c>
      <c r="F17" s="109">
        <f>F6</f>
        <v>2025</v>
      </c>
      <c r="G17" s="109">
        <f>G6</f>
        <v>2026</v>
      </c>
      <c r="H17" s="109">
        <f>H6</f>
        <v>2027</v>
      </c>
      <c r="I17" s="109">
        <f>I6</f>
        <v>2028</v>
      </c>
    </row>
    <row r="18" spans="3:31" ht="24.6" customHeight="1" x14ac:dyDescent="0.25">
      <c r="C18" s="78" t="str">
        <f>'التقرير '!D153</f>
        <v xml:space="preserve">الإيرادات </v>
      </c>
      <c r="D18" s="78"/>
      <c r="E18" s="80">
        <f>'التقرير '!J153/$O$1</f>
        <v>4317.6620000000003</v>
      </c>
      <c r="F18" s="80">
        <f>'التقرير '!K153/$O$1</f>
        <v>6499.9610000000002</v>
      </c>
      <c r="G18" s="80">
        <f>'التقرير '!L153/$O$1</f>
        <v>7999.9520000000002</v>
      </c>
      <c r="H18" s="80">
        <f>'التقرير '!M153/$O$1</f>
        <v>8999.9459999999999</v>
      </c>
      <c r="I18" s="80">
        <f>'التقرير '!N153/$O$1</f>
        <v>9999.94</v>
      </c>
    </row>
    <row r="19" spans="3:31" x14ac:dyDescent="0.25">
      <c r="C19" s="110" t="str">
        <f>'التقرير '!D154</f>
        <v>نسبة النمو</v>
      </c>
      <c r="D19" s="110"/>
      <c r="E19" s="111"/>
      <c r="F19" s="112">
        <f>(F18-E18)/E18</f>
        <v>0.5054353490384379</v>
      </c>
      <c r="G19" s="112">
        <f>(G18-F18)/F18</f>
        <v>0.23076923076923075</v>
      </c>
      <c r="H19" s="112">
        <f>(H18-G18)/G18</f>
        <v>0.12499999999999996</v>
      </c>
      <c r="I19" s="112">
        <f>(I18-H18)/H18</f>
        <v>0.11111111111111117</v>
      </c>
    </row>
    <row r="20" spans="3:31" ht="26.1" customHeight="1" x14ac:dyDescent="0.25">
      <c r="C20" s="21" t="s">
        <v>156</v>
      </c>
      <c r="E20" s="113">
        <f>'التقرير '!J155/$O$1</f>
        <v>-1827.4414000000002</v>
      </c>
      <c r="F20" s="113">
        <f>'التقرير '!K155/$O$1</f>
        <v>-2751.3245499999998</v>
      </c>
      <c r="G20" s="113">
        <f>'التقرير '!L155/$O$1</f>
        <v>-3386.2456000000002</v>
      </c>
      <c r="H20" s="113">
        <f>'التقرير '!M155/$O$1</f>
        <v>-3809.5263</v>
      </c>
      <c r="I20" s="113">
        <f>'التقرير '!N155/$O$1</f>
        <v>-4232.8069999999998</v>
      </c>
    </row>
    <row r="21" spans="3:31" ht="22.5" customHeight="1" x14ac:dyDescent="0.25">
      <c r="C21" s="114" t="str">
        <f>'التقرير '!D156</f>
        <v>مجمل الربح</v>
      </c>
      <c r="D21" s="114"/>
      <c r="E21" s="115">
        <f>'التقرير '!J156/$O$1</f>
        <v>2490.2205999999996</v>
      </c>
      <c r="F21" s="115">
        <f>'التقرير '!K156/$O$1</f>
        <v>3748.63645</v>
      </c>
      <c r="G21" s="115">
        <f>'التقرير '!L156/$O$1</f>
        <v>4613.7064</v>
      </c>
      <c r="H21" s="115">
        <f>'التقرير '!M156/$O$1</f>
        <v>5190.4197000000004</v>
      </c>
      <c r="I21" s="115">
        <f>'التقرير '!N156/$O$1</f>
        <v>5767.1329999999998</v>
      </c>
    </row>
    <row r="22" spans="3:31" x14ac:dyDescent="0.25">
      <c r="C22" s="110" t="s">
        <v>146</v>
      </c>
      <c r="D22" s="110"/>
      <c r="E22" s="112">
        <f>E21/E$18</f>
        <v>0.57675209407313488</v>
      </c>
      <c r="F22" s="112">
        <f>F21/F$18</f>
        <v>0.57671676030056174</v>
      </c>
      <c r="G22" s="112">
        <f>G21/G$18</f>
        <v>0.57671676030056174</v>
      </c>
      <c r="H22" s="112">
        <f>H21/H$18</f>
        <v>0.57671676030056185</v>
      </c>
      <c r="I22" s="112">
        <f>I21/I$18</f>
        <v>0.57671676030056174</v>
      </c>
    </row>
    <row r="23" spans="3:31" ht="23.1" customHeight="1" x14ac:dyDescent="0.25">
      <c r="C23" s="21" t="s">
        <v>39</v>
      </c>
      <c r="E23" s="113">
        <f>+('التقرير '!J173+'التقرير '!J176+'التقرير '!J177)/$O$1</f>
        <v>-2709.8</v>
      </c>
      <c r="F23" s="113">
        <f>+('التقرير '!K173+'التقرير '!K176+'التقرير '!K177)/$O$1</f>
        <v>-2958.9215303697461</v>
      </c>
      <c r="G23" s="113">
        <f>+('التقرير '!L173+'التقرير '!L176+'التقرير '!L177)/$O$1</f>
        <v>-3224.1559230042808</v>
      </c>
      <c r="H23" s="113">
        <f>+('التقرير '!M173+'التقرير '!M176+'التقرير '!M177)/$O$1</f>
        <v>-3495.6307051441972</v>
      </c>
      <c r="I23" s="113">
        <f>+('التقرير '!N173+'التقرير '!N176+'التقرير '!N177)/$O$1</f>
        <v>-3696.6967652697112</v>
      </c>
    </row>
    <row r="24" spans="3:31" ht="22.2" customHeight="1" x14ac:dyDescent="0.25">
      <c r="C24" s="116" t="s">
        <v>17</v>
      </c>
      <c r="D24" s="116"/>
      <c r="E24" s="117">
        <f>E21+E23</f>
        <v>-219.57940000000053</v>
      </c>
      <c r="F24" s="117">
        <f>F21+F23</f>
        <v>789.71491963025392</v>
      </c>
      <c r="G24" s="117">
        <f>G21+G23</f>
        <v>1389.5504769957192</v>
      </c>
      <c r="H24" s="117">
        <f>H21+H23</f>
        <v>1694.7889948558031</v>
      </c>
      <c r="I24" s="117">
        <f>I21+I23</f>
        <v>2070.4362347302886</v>
      </c>
    </row>
    <row r="25" spans="3:31" x14ac:dyDescent="0.25">
      <c r="C25" s="338" t="s">
        <v>146</v>
      </c>
      <c r="D25" s="338"/>
      <c r="E25" s="339">
        <f>E24/E$18</f>
        <v>-5.085608831816861E-2</v>
      </c>
      <c r="F25" s="339">
        <f>F24/F$18</f>
        <v>0.12149533199203101</v>
      </c>
      <c r="G25" s="339">
        <f>G24/G$18</f>
        <v>0.17369485179357566</v>
      </c>
      <c r="H25" s="339">
        <f>H24/H$18</f>
        <v>0.18831101818342055</v>
      </c>
      <c r="I25" s="339">
        <f>I24/I$18</f>
        <v>0.20704486574222331</v>
      </c>
    </row>
    <row r="26" spans="3:31" x14ac:dyDescent="0.25">
      <c r="E26" s="113"/>
      <c r="F26" s="113"/>
      <c r="G26" s="113"/>
      <c r="H26" s="113"/>
      <c r="I26" s="113"/>
    </row>
    <row r="27" spans="3:31" x14ac:dyDescent="0.25">
      <c r="E27" s="118"/>
      <c r="F27" s="118"/>
      <c r="G27" s="118"/>
      <c r="H27" s="118"/>
      <c r="I27" s="118"/>
      <c r="K27" s="126"/>
      <c r="L27" s="126"/>
      <c r="M27" s="126"/>
      <c r="N27" s="126"/>
      <c r="O27" s="126"/>
      <c r="P27" s="126"/>
      <c r="Q27" s="126"/>
      <c r="R27" s="126"/>
      <c r="S27" s="126"/>
      <c r="T27" s="126"/>
      <c r="U27" s="126"/>
      <c r="V27" s="126"/>
      <c r="W27" s="126"/>
      <c r="X27" s="126"/>
      <c r="Y27" s="126"/>
      <c r="Z27" s="126"/>
      <c r="AA27" s="126"/>
      <c r="AB27" s="126"/>
      <c r="AC27" s="126"/>
      <c r="AD27" s="126"/>
      <c r="AE27" s="126"/>
    </row>
    <row r="28" spans="3:31" ht="20.100000000000001" customHeight="1" x14ac:dyDescent="0.25">
      <c r="C28" s="109" t="s">
        <v>150</v>
      </c>
      <c r="D28" s="109" t="s">
        <v>83</v>
      </c>
      <c r="E28" s="109">
        <f>E17</f>
        <v>2024</v>
      </c>
      <c r="F28" s="109">
        <f>F17</f>
        <v>2025</v>
      </c>
      <c r="G28" s="109">
        <f>G17</f>
        <v>2026</v>
      </c>
      <c r="H28" s="109">
        <f>H17</f>
        <v>2027</v>
      </c>
      <c r="I28" s="109">
        <f>I17</f>
        <v>2028</v>
      </c>
      <c r="K28" s="126"/>
      <c r="L28" s="126"/>
      <c r="M28" s="126"/>
      <c r="N28" s="126"/>
      <c r="O28" s="126"/>
      <c r="P28" s="126"/>
      <c r="Q28" s="126"/>
      <c r="R28" s="126"/>
      <c r="S28" s="126"/>
      <c r="T28" s="126"/>
      <c r="U28" s="126"/>
      <c r="V28" s="126"/>
      <c r="W28" s="126"/>
      <c r="X28" s="126"/>
      <c r="Y28" s="126"/>
      <c r="Z28" s="126"/>
      <c r="AA28" s="126"/>
      <c r="AB28" s="126"/>
      <c r="AC28" s="126"/>
      <c r="AD28" s="126"/>
      <c r="AE28" s="126"/>
    </row>
    <row r="29" spans="3:31" ht="20.100000000000001" customHeight="1" x14ac:dyDescent="0.25">
      <c r="C29" s="121" t="str">
        <f>'التقرير '!D232</f>
        <v>صافي الربح النقدي</v>
      </c>
      <c r="D29" s="80">
        <f>'التقرير '!I232/$O$1</f>
        <v>0</v>
      </c>
      <c r="E29" s="80">
        <f>'التقرير '!J232/$O$1</f>
        <v>-129.77940000000038</v>
      </c>
      <c r="F29" s="80">
        <f>'التقرير '!K232/$O$1</f>
        <v>879.51491963025433</v>
      </c>
      <c r="G29" s="80">
        <f>'التقرير '!L232/$O$1</f>
        <v>1479.3504769957196</v>
      </c>
      <c r="H29" s="80">
        <f>'التقرير '!M232/$O$1</f>
        <v>1781.5889948558029</v>
      </c>
      <c r="I29" s="80">
        <f>'التقرير '!N232/$O$1</f>
        <v>2157.2362347302892</v>
      </c>
      <c r="K29" s="126"/>
      <c r="L29" s="126"/>
      <c r="M29" s="126"/>
      <c r="N29" s="126"/>
      <c r="O29" s="126"/>
      <c r="P29" s="126"/>
      <c r="Q29" s="126"/>
      <c r="R29" s="126"/>
      <c r="S29" s="126"/>
      <c r="T29" s="126"/>
      <c r="U29" s="126"/>
      <c r="V29" s="126"/>
      <c r="W29" s="126"/>
      <c r="X29" s="126"/>
      <c r="Y29" s="126"/>
      <c r="Z29" s="126"/>
      <c r="AA29" s="126"/>
      <c r="AB29" s="126"/>
      <c r="AC29" s="126"/>
      <c r="AD29" s="126"/>
      <c r="AE29" s="126"/>
    </row>
    <row r="30" spans="3:31" ht="20.100000000000001" customHeight="1" x14ac:dyDescent="0.25">
      <c r="C30" s="129" t="str">
        <f>'التقرير '!D237</f>
        <v>صافي التدفقات النقدية من العمليات التشغيلية</v>
      </c>
      <c r="D30" s="79">
        <f>'التقرير '!I237/$O$1</f>
        <v>-906.86034999999993</v>
      </c>
      <c r="E30" s="79">
        <f>'التقرير '!J237/$O$1</f>
        <v>87.210838888888475</v>
      </c>
      <c r="F30" s="79">
        <f>'التقرير '!K237/$O$1</f>
        <v>758.27608629692088</v>
      </c>
      <c r="G30" s="79">
        <f>'التقرير '!L237/$O$1</f>
        <v>1396.0176436623865</v>
      </c>
      <c r="H30" s="79">
        <f>'التقرير '!M237/$O$1</f>
        <v>1726.0337726335804</v>
      </c>
      <c r="I30" s="79">
        <f>'التقرير '!N237/$O$1</f>
        <v>2101.6810125080674</v>
      </c>
      <c r="K30" s="126"/>
      <c r="L30" s="126"/>
      <c r="M30" s="126"/>
      <c r="N30" s="126"/>
      <c r="O30" s="126"/>
      <c r="P30" s="126"/>
      <c r="Q30" s="126"/>
      <c r="R30" s="126"/>
      <c r="S30" s="126"/>
      <c r="T30" s="126"/>
      <c r="U30" s="126"/>
      <c r="V30" s="126"/>
      <c r="W30" s="126"/>
      <c r="X30" s="126"/>
      <c r="Y30" s="126"/>
      <c r="Z30" s="126"/>
      <c r="AA30" s="126"/>
      <c r="AB30" s="126"/>
      <c r="AC30" s="126"/>
      <c r="AD30" s="126"/>
      <c r="AE30" s="126"/>
    </row>
    <row r="31" spans="3:31" ht="20.100000000000001" customHeight="1" x14ac:dyDescent="0.25">
      <c r="C31" s="129" t="str">
        <f>'التقرير '!D240</f>
        <v>صافي التدفقات النقدية من العمليات الإستثمارية</v>
      </c>
      <c r="D31" s="79">
        <f>'التقرير '!I240/$O$1</f>
        <v>-443</v>
      </c>
      <c r="E31" s="79">
        <f>'التقرير '!J240/$O$1</f>
        <v>0</v>
      </c>
      <c r="F31" s="79">
        <f>'التقرير '!K240/$O$1</f>
        <v>0</v>
      </c>
      <c r="G31" s="79">
        <f>'التقرير '!L240/$O$1</f>
        <v>0</v>
      </c>
      <c r="H31" s="79">
        <f>'التقرير '!M240/$O$1</f>
        <v>0</v>
      </c>
      <c r="I31" s="79">
        <f>'التقرير '!N240/$O$1</f>
        <v>0</v>
      </c>
      <c r="J31" s="123"/>
      <c r="K31" s="126"/>
      <c r="L31" s="126"/>
      <c r="M31" s="126"/>
      <c r="N31" s="126"/>
      <c r="O31" s="126"/>
      <c r="P31" s="126"/>
      <c r="Q31" s="126"/>
      <c r="R31" s="126"/>
      <c r="S31" s="126"/>
      <c r="T31" s="127"/>
      <c r="U31" s="126"/>
      <c r="V31" s="126"/>
      <c r="W31" s="126"/>
      <c r="X31" s="126"/>
      <c r="Y31" s="126"/>
      <c r="Z31" s="126"/>
      <c r="AA31" s="126"/>
      <c r="AB31" s="126"/>
      <c r="AC31" s="126"/>
      <c r="AD31" s="126"/>
      <c r="AE31" s="126"/>
    </row>
    <row r="32" spans="3:31" ht="20.100000000000001" customHeight="1" x14ac:dyDescent="0.25">
      <c r="C32" s="129" t="str">
        <f>'التقرير '!D244</f>
        <v>صافي التدفقات النقدية من العمليات التمويلية</v>
      </c>
      <c r="D32" s="79">
        <f>'التقرير '!I244/$O$1</f>
        <v>2400</v>
      </c>
      <c r="E32" s="79">
        <f>'التقرير '!J244/$O$1</f>
        <v>-120.60952200636321</v>
      </c>
      <c r="F32" s="79">
        <f>'التقرير '!K244/$O$1</f>
        <v>-125.4339028866178</v>
      </c>
      <c r="G32" s="79">
        <f>'التقرير '!L244/$O$1</f>
        <v>-130.45125900208245</v>
      </c>
      <c r="H32" s="79">
        <f>'التقرير '!M244/$O$1</f>
        <v>-135.66930936216576</v>
      </c>
      <c r="I32" s="79">
        <f>'التقرير '!N244/$O$1</f>
        <v>-141.09608173665242</v>
      </c>
      <c r="J32" s="123"/>
      <c r="K32" s="126"/>
      <c r="L32" s="126"/>
      <c r="M32" s="126"/>
      <c r="N32" s="126"/>
      <c r="O32" s="126"/>
      <c r="P32" s="126"/>
      <c r="Q32" s="126"/>
      <c r="R32" s="126"/>
      <c r="S32" s="126"/>
      <c r="T32" s="126"/>
      <c r="U32" s="126"/>
      <c r="V32" s="126"/>
      <c r="W32" s="126"/>
      <c r="X32" s="126"/>
      <c r="Y32" s="126"/>
      <c r="Z32" s="126"/>
      <c r="AA32" s="126"/>
      <c r="AB32" s="126"/>
      <c r="AC32" s="126"/>
      <c r="AD32" s="126"/>
      <c r="AE32" s="126"/>
    </row>
    <row r="33" spans="3:31" ht="20.100000000000001" customHeight="1" x14ac:dyDescent="0.25">
      <c r="C33" s="121" t="str">
        <f>'التقرير '!D246</f>
        <v>رصيد النقد اول المدة</v>
      </c>
      <c r="D33" s="80">
        <f>'التقرير '!I246/$O$1</f>
        <v>0</v>
      </c>
      <c r="E33" s="80">
        <f>'التقرير '!J246/$O$1</f>
        <v>1050.1396499999998</v>
      </c>
      <c r="F33" s="80">
        <f>'التقرير '!K246/$O$1</f>
        <v>1016.7409668825253</v>
      </c>
      <c r="G33" s="80">
        <f>'التقرير '!L246/$O$1</f>
        <v>1649.5831502928281</v>
      </c>
      <c r="H33" s="80">
        <f>'التقرير '!M246/$O$1</f>
        <v>2915.1495349531324</v>
      </c>
      <c r="I33" s="80">
        <f>'التقرير '!N246/$O$1</f>
        <v>4505.5139982245473</v>
      </c>
      <c r="J33" s="123"/>
      <c r="K33" s="126"/>
      <c r="L33" s="126"/>
      <c r="M33" s="126"/>
      <c r="N33" s="126"/>
      <c r="O33" s="126"/>
      <c r="P33" s="126"/>
      <c r="Q33" s="126"/>
      <c r="R33" s="126"/>
      <c r="S33" s="126"/>
      <c r="T33" s="128"/>
      <c r="U33" s="126"/>
      <c r="V33" s="126"/>
      <c r="W33" s="126"/>
      <c r="X33" s="126"/>
      <c r="Y33" s="126"/>
      <c r="Z33" s="126"/>
      <c r="AA33" s="126"/>
      <c r="AB33" s="126"/>
      <c r="AC33" s="126"/>
      <c r="AD33" s="126"/>
      <c r="AE33" s="126"/>
    </row>
    <row r="34" spans="3:31" ht="20.100000000000001" customHeight="1" x14ac:dyDescent="0.25">
      <c r="C34" s="114" t="str">
        <f>'التقرير '!D247</f>
        <v>رصيد النقد اخر المدة</v>
      </c>
      <c r="D34" s="115">
        <f>'التقرير '!I247/$O$1</f>
        <v>1050.1396499999998</v>
      </c>
      <c r="E34" s="115">
        <f>'التقرير '!J247/$O$1</f>
        <v>1016.7409668825253</v>
      </c>
      <c r="F34" s="115">
        <f>'التقرير '!K247/$O$1</f>
        <v>1649.5831502928281</v>
      </c>
      <c r="G34" s="115">
        <f>'التقرير '!L247/$O$1</f>
        <v>2915.1495349531324</v>
      </c>
      <c r="H34" s="115">
        <f>'التقرير '!M247/$O$1</f>
        <v>4505.5139982245473</v>
      </c>
      <c r="I34" s="115">
        <f>'التقرير '!N247/$O$1</f>
        <v>6466.0989289959625</v>
      </c>
      <c r="J34" s="123"/>
      <c r="K34" s="126"/>
      <c r="L34" s="126"/>
      <c r="M34" s="126"/>
      <c r="N34" s="126"/>
      <c r="O34" s="126"/>
      <c r="P34" s="126"/>
      <c r="Q34" s="126"/>
      <c r="R34" s="126"/>
      <c r="S34" s="126"/>
      <c r="T34" s="126"/>
      <c r="U34" s="126"/>
      <c r="V34" s="126"/>
      <c r="W34" s="126"/>
      <c r="X34" s="126"/>
      <c r="Y34" s="126"/>
      <c r="Z34" s="126"/>
      <c r="AA34" s="126"/>
      <c r="AB34" s="126"/>
      <c r="AC34" s="126"/>
      <c r="AD34" s="126"/>
      <c r="AE34" s="126"/>
    </row>
    <row r="35" spans="3:31" x14ac:dyDescent="0.25">
      <c r="C35" s="120"/>
      <c r="D35" s="119"/>
      <c r="F35" s="119"/>
      <c r="G35" s="119"/>
      <c r="H35" s="119"/>
      <c r="I35" s="119"/>
      <c r="J35" s="123"/>
      <c r="K35" s="126"/>
      <c r="L35" s="126"/>
      <c r="M35" s="126"/>
      <c r="Q35" s="126"/>
      <c r="R35" s="126"/>
      <c r="S35" s="126"/>
      <c r="T35" s="126"/>
      <c r="U35" s="126"/>
      <c r="V35" s="126"/>
      <c r="W35" s="126"/>
      <c r="X35" s="126"/>
      <c r="Y35" s="126"/>
      <c r="Z35" s="126"/>
      <c r="AA35" s="126"/>
      <c r="AB35" s="126"/>
      <c r="AC35" s="126"/>
      <c r="AD35" s="126"/>
      <c r="AE35" s="126"/>
    </row>
    <row r="36" spans="3:31" x14ac:dyDescent="0.25">
      <c r="J36" s="123"/>
      <c r="T36" s="126"/>
      <c r="U36" s="126"/>
    </row>
    <row r="37" spans="3:31" x14ac:dyDescent="0.25">
      <c r="C37" s="123" t="s">
        <v>31</v>
      </c>
      <c r="D37" s="124" t="s">
        <v>83</v>
      </c>
      <c r="E37" s="124">
        <f>E28</f>
        <v>2024</v>
      </c>
      <c r="F37" s="124">
        <f>F28</f>
        <v>2025</v>
      </c>
      <c r="G37" s="124">
        <f>G28</f>
        <v>2026</v>
      </c>
      <c r="H37" s="124">
        <f>H28</f>
        <v>2027</v>
      </c>
      <c r="I37" s="124">
        <f>I28</f>
        <v>2028</v>
      </c>
      <c r="J37" s="123"/>
      <c r="T37" s="126"/>
      <c r="U37" s="126"/>
    </row>
    <row r="38" spans="3:31" x14ac:dyDescent="0.25">
      <c r="C38" s="123" t="s">
        <v>151</v>
      </c>
      <c r="D38" s="125">
        <f>D32</f>
        <v>2400</v>
      </c>
      <c r="E38" s="125">
        <f>D38</f>
        <v>2400</v>
      </c>
      <c r="F38" s="125">
        <f>E38</f>
        <v>2400</v>
      </c>
      <c r="G38" s="125">
        <f>F38</f>
        <v>2400</v>
      </c>
      <c r="H38" s="125">
        <f>G38</f>
        <v>2400</v>
      </c>
      <c r="I38" s="125">
        <f>H38</f>
        <v>2400</v>
      </c>
      <c r="T38" s="126"/>
      <c r="U38" s="126"/>
    </row>
    <row r="39" spans="3:31" x14ac:dyDescent="0.25">
      <c r="C39" s="123" t="s">
        <v>152</v>
      </c>
      <c r="D39" s="125"/>
      <c r="E39" s="125">
        <f>E40</f>
        <v>-33.398683117474548</v>
      </c>
      <c r="F39" s="125">
        <f>F40+E39</f>
        <v>599.44350029282828</v>
      </c>
      <c r="G39" s="125">
        <f>G40+F39</f>
        <v>1865.0098849531325</v>
      </c>
      <c r="H39" s="125">
        <f>H40+G39</f>
        <v>3455.3743482245472</v>
      </c>
      <c r="I39" s="125">
        <f>I40+H39</f>
        <v>5415.9592789959624</v>
      </c>
    </row>
    <row r="40" spans="3:31" x14ac:dyDescent="0.25">
      <c r="C40" s="123"/>
      <c r="D40" s="123"/>
      <c r="E40" s="125">
        <f>E34-D34</f>
        <v>-33.398683117474548</v>
      </c>
      <c r="F40" s="125">
        <f>F34-E34</f>
        <v>632.84218341030282</v>
      </c>
      <c r="G40" s="125">
        <f>G34-F34</f>
        <v>1265.5663846603043</v>
      </c>
      <c r="H40" s="125">
        <f>H34-G34</f>
        <v>1590.3644632714149</v>
      </c>
      <c r="I40" s="125">
        <f>I34-H34</f>
        <v>1960.5849307714152</v>
      </c>
    </row>
    <row r="41" spans="3:31" x14ac:dyDescent="0.25">
      <c r="C41" s="123"/>
      <c r="D41" s="123"/>
      <c r="E41" s="123"/>
      <c r="F41" s="123"/>
      <c r="G41" s="123"/>
      <c r="H41" s="123"/>
      <c r="I41" s="123"/>
    </row>
  </sheetData>
  <mergeCells count="7">
    <mergeCell ref="L14:P14"/>
    <mergeCell ref="C3:P3"/>
    <mergeCell ref="K1:N1"/>
    <mergeCell ref="L12:P12"/>
    <mergeCell ref="L13:P13"/>
    <mergeCell ref="L7:P7"/>
    <mergeCell ref="L8:P8"/>
  </mergeCells>
  <phoneticPr fontId="43" type="noConversion"/>
  <dataValidations count="1">
    <dataValidation type="list" allowBlank="1" showInputMessage="1" showErrorMessage="1" sqref="O1" xr:uid="{00000000-0002-0000-0500-000000000000}">
      <formula1>$R$6:$R$8</formula1>
    </dataValidation>
  </dataValidations>
  <pageMargins left="0.7" right="0.7" top="0.75" bottom="0.75" header="0.3" footer="0.3"/>
  <pageSetup scale="61" orientation="landscape"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dimension ref="B8:J22"/>
  <sheetViews>
    <sheetView rightToLeft="1" workbookViewId="0">
      <selection activeCell="F17" sqref="F17:F18"/>
    </sheetView>
  </sheetViews>
  <sheetFormatPr defaultColWidth="9.09765625" defaultRowHeight="13.8" x14ac:dyDescent="0.25"/>
  <cols>
    <col min="4" max="4" width="12.296875" bestFit="1" customWidth="1"/>
  </cols>
  <sheetData>
    <row r="8" spans="2:6" x14ac:dyDescent="0.25">
      <c r="B8">
        <v>0</v>
      </c>
      <c r="C8">
        <v>-350</v>
      </c>
      <c r="D8" s="36">
        <f>C8/(1+$F$8)^B8</f>
        <v>-350</v>
      </c>
      <c r="F8" s="35">
        <v>0.05</v>
      </c>
    </row>
    <row r="9" spans="2:6" x14ac:dyDescent="0.25">
      <c r="B9">
        <v>1</v>
      </c>
      <c r="C9">
        <v>100</v>
      </c>
      <c r="D9" s="36">
        <f>C9/(1+$F$8)^B9</f>
        <v>95.238095238095241</v>
      </c>
      <c r="F9" s="36">
        <f>C9/(1+$F$8)</f>
        <v>95.238095238095241</v>
      </c>
    </row>
    <row r="10" spans="2:6" x14ac:dyDescent="0.25">
      <c r="B10">
        <v>2</v>
      </c>
      <c r="C10">
        <v>200</v>
      </c>
      <c r="D10" s="36">
        <f>C10/(1+$F$8)^B10</f>
        <v>181.40589569160997</v>
      </c>
      <c r="F10" s="36">
        <f>C10/(1+$F$8)</f>
        <v>190.47619047619048</v>
      </c>
    </row>
    <row r="11" spans="2:6" x14ac:dyDescent="0.25">
      <c r="B11">
        <v>3</v>
      </c>
      <c r="C11">
        <v>150</v>
      </c>
      <c r="D11" s="36">
        <f>C11/(1+$F$8)^B11</f>
        <v>129.5756397797214</v>
      </c>
    </row>
    <row r="12" spans="2:6" x14ac:dyDescent="0.25">
      <c r="B12">
        <v>4</v>
      </c>
      <c r="C12">
        <v>75</v>
      </c>
      <c r="D12" s="36">
        <f>C12/(1+$F$8)^B12</f>
        <v>61.702685609391146</v>
      </c>
    </row>
    <row r="13" spans="2:6" x14ac:dyDescent="0.25">
      <c r="B13" s="584" t="s">
        <v>78</v>
      </c>
      <c r="C13" s="584"/>
      <c r="D13" s="37">
        <f>SUM(D8:D12)</f>
        <v>117.92231631881776</v>
      </c>
    </row>
    <row r="14" spans="2:6" x14ac:dyDescent="0.25">
      <c r="B14" s="584"/>
      <c r="C14" s="584"/>
      <c r="D14" s="38">
        <f>D8+NPV(F8,C9:C12)</f>
        <v>117.92231631881776</v>
      </c>
    </row>
    <row r="15" spans="2:6" x14ac:dyDescent="0.25">
      <c r="B15" s="584" t="s">
        <v>79</v>
      </c>
      <c r="C15" s="584"/>
      <c r="D15" s="39">
        <f>IRR(C8:C12)</f>
        <v>0.19256138275944257</v>
      </c>
    </row>
    <row r="21" spans="10:10" x14ac:dyDescent="0.25">
      <c r="J21">
        <v>305</v>
      </c>
    </row>
    <row r="22" spans="10:10" x14ac:dyDescent="0.25">
      <c r="J22">
        <f>J21/12</f>
        <v>25.416666666666668</v>
      </c>
    </row>
  </sheetData>
  <mergeCells count="2">
    <mergeCell ref="B13:C14"/>
    <mergeCell ref="B15:C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7</vt:i4>
      </vt:variant>
      <vt:variant>
        <vt:lpstr>النطاقات المسماة</vt:lpstr>
      </vt:variant>
      <vt:variant>
        <vt:i4>2</vt:i4>
      </vt:variant>
    </vt:vector>
  </HeadingPairs>
  <TitlesOfParts>
    <vt:vector size="9" baseType="lpstr">
      <vt:lpstr>المقدمة</vt:lpstr>
      <vt:lpstr>ملاحظات</vt:lpstr>
      <vt:lpstr>بيانات الدراسة</vt:lpstr>
      <vt:lpstr>ادخال  التوقعات المالية</vt:lpstr>
      <vt:lpstr>التقرير </vt:lpstr>
      <vt:lpstr>ملخص</vt:lpstr>
      <vt:lpstr>Sheet1</vt:lpstr>
      <vt:lpstr>'التقرير '!Print_Area</vt:lpstr>
      <vt:lpstr>ملخص!Print_Area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Jaafar Ahmad Hussein Alsharif</dc:creator>
  <cp:lastModifiedBy>مروان صلاح</cp:lastModifiedBy>
  <cp:lastPrinted>2021-04-28T23:33:03Z</cp:lastPrinted>
  <dcterms:created xsi:type="dcterms:W3CDTF">2017-04-11T05:01:14Z</dcterms:created>
  <dcterms:modified xsi:type="dcterms:W3CDTF">2026-02-25T18:27:39Z</dcterms:modified>
</cp:coreProperties>
</file>